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drawings/drawing4.xml" ContentType="application/vnd.openxmlformats-officedocument.drawing+xml"/>
  <Override PartName="/xl/tables/table4.xml" ContentType="application/vnd.openxmlformats-officedocument.spreadsheetml.table+xml"/>
  <Override PartName="/xl/comments1.xml" ContentType="application/vnd.openxmlformats-officedocument.spreadsheetml.comments+xml"/>
  <Override PartName="/xl/drawings/drawing5.xml" ContentType="application/vnd.openxmlformats-officedocument.drawing+xml"/>
  <Override PartName="/xl/tables/table5.xml" ContentType="application/vnd.openxmlformats-officedocument.spreadsheetml.table+xml"/>
  <Override PartName="/xl/drawings/drawing6.xml" ContentType="application/vnd.openxmlformats-officedocument.drawing+xml"/>
  <Override PartName="/xl/tables/table6.xml" ContentType="application/vnd.openxmlformats-officedocument.spreadsheetml.table+xml"/>
  <Override PartName="/xl/drawings/drawing7.xml" ContentType="application/vnd.openxmlformats-officedocument.drawing+xml"/>
  <Override PartName="/xl/tables/table7.xml" ContentType="application/vnd.openxmlformats-officedocument.spreadsheetml.table+xml"/>
  <Override PartName="/xl/drawings/drawing8.xml" ContentType="application/vnd.openxmlformats-officedocument.drawing+xml"/>
  <Override PartName="/xl/tables/table8.xml" ContentType="application/vnd.openxmlformats-officedocument.spreadsheetml.table+xml"/>
  <Override PartName="/xl/drawings/drawing9.xml" ContentType="application/vnd.openxmlformats-officedocument.drawing+xml"/>
  <Override PartName="/xl/tables/table9.xml" ContentType="application/vnd.openxmlformats-officedocument.spreadsheetml.table+xml"/>
  <Override PartName="/xl/drawings/drawing10.xml" ContentType="application/vnd.openxmlformats-officedocument.drawing+xml"/>
  <Override PartName="/xl/tables/table10.xml" ContentType="application/vnd.openxmlformats-officedocument.spreadsheetml.table+xml"/>
  <Override PartName="/xl/drawings/drawing11.xml" ContentType="application/vnd.openxmlformats-officedocument.drawing+xml"/>
  <Override PartName="/xl/tables/table11.xml" ContentType="application/vnd.openxmlformats-officedocument.spreadsheetml.table+xml"/>
  <Override PartName="/xl/drawings/drawing12.xml" ContentType="application/vnd.openxmlformats-officedocument.drawing+xml"/>
  <Override PartName="/xl/tables/table12.xml" ContentType="application/vnd.openxmlformats-officedocument.spreadsheetml.table+xml"/>
  <Override PartName="/xl/drawings/drawing13.xml" ContentType="application/vnd.openxmlformats-officedocument.drawing+xml"/>
  <Override PartName="/xl/tables/table13.xml" ContentType="application/vnd.openxmlformats-officedocument.spreadsheetml.table+xml"/>
  <Override PartName="/xl/drawings/drawing14.xml" ContentType="application/vnd.openxmlformats-officedocument.drawing+xml"/>
  <Override PartName="/xl/tables/table14.xml" ContentType="application/vnd.openxmlformats-officedocument.spreadsheetml.table+xml"/>
  <Override PartName="/xl/drawings/drawing15.xml" ContentType="application/vnd.openxmlformats-officedocument.drawing+xml"/>
  <Override PartName="/xl/tables/table15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ublico\Omar\1.- 2026\4.- ABRIL\"/>
    </mc:Choice>
  </mc:AlternateContent>
  <xr:revisionPtr revIDLastSave="0" documentId="13_ncr:1_{8C2F0E33-8927-493F-8815-7366C5586F9D}" xr6:coauthVersionLast="47" xr6:coauthVersionMax="47" xr10:uidLastSave="{00000000-0000-0000-0000-000000000000}"/>
  <bookViews>
    <workbookView xWindow="28680" yWindow="-120" windowWidth="29040" windowHeight="15720" tabRatio="848" xr2:uid="{AEBF7CE5-36FE-46E7-9631-91A6494D2E94}"/>
  </bookViews>
  <sheets>
    <sheet name="SSF" sheetId="35" r:id="rId1"/>
    <sheet name="JOE" sheetId="33" r:id="rId2"/>
    <sheet name="CG" sheetId="4" r:id="rId3"/>
    <sheet name="PGJE" sheetId="8" r:id="rId4"/>
    <sheet name="SJC" sheetId="9" r:id="rId5"/>
    <sheet name="SEP 530 2000" sheetId="11" r:id="rId6"/>
    <sheet name="SEP FONE 3000" sheetId="15" r:id="rId7"/>
    <sheet name="SEPADA" sheetId="17" r:id="rId8"/>
    <sheet name="SEPUIMM" sheetId="29" r:id="rId9"/>
    <sheet name="SETUE" sheetId="30" r:id="rId10"/>
    <sheet name="SSA" sheetId="28" r:id="rId11"/>
    <sheet name="SGG" sheetId="20" r:id="rId12"/>
    <sheet name="SGG DESCONCENTRADOS" sheetId="19" r:id="rId13"/>
    <sheet name="SSP" sheetId="21" r:id="rId14"/>
    <sheet name="STByDS" sheetId="22" r:id="rId15"/>
  </sheets>
  <externalReferences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</externalReferences>
  <definedNames>
    <definedName name="_xlnm.Print_Area" localSheetId="2">CG!$A$1:$P$147</definedName>
    <definedName name="_xlnm.Print_Area" localSheetId="3">PGJE!$A$1:$P$40</definedName>
    <definedName name="_xlnm.Print_Area" localSheetId="7">SEPADA!$A$1:$P$54</definedName>
    <definedName name="_xlnm.Print_Area" localSheetId="8">SEPUIMM!$A$1:$P$28</definedName>
    <definedName name="_xlnm.Print_Area" localSheetId="9">SETUE!$A$1:$P$150</definedName>
    <definedName name="_xlnm.Print_Area" localSheetId="12">'SGG DESCONCENTRADOS'!$A$1:$P$58</definedName>
    <definedName name="CAPITULOS" localSheetId="2">[1]PARTIDA!$H$2:$H$4</definedName>
    <definedName name="CAPITULOS" localSheetId="1">[2]PARTIDA!$H$2:$H$4</definedName>
    <definedName name="CAPITULOS" localSheetId="3">#REF!</definedName>
    <definedName name="CAPITULOS" localSheetId="5">[3]PARTIDA!$H$2:$H$4</definedName>
    <definedName name="CAPITULOS" localSheetId="6">[4]PARTIDA!$H$2:$H$4</definedName>
    <definedName name="CAPITULOS" localSheetId="7">[5]PARTIDA!$H$2:$H$4</definedName>
    <definedName name="CAPITULOS" localSheetId="8">[6]PARTIDA!$H$2:$H$4</definedName>
    <definedName name="CAPITULOS" localSheetId="9">[7]PARTIDA!$H$2:$H$4</definedName>
    <definedName name="CAPITULOS" localSheetId="11">[8]PARTIDA!$H$2:$H$4</definedName>
    <definedName name="CAPITULOS" localSheetId="12">[9]PARTIDA!$H$2:$H$4</definedName>
    <definedName name="CAPITULOS" localSheetId="4">[10]PARTIDA!$H$2:$H$4</definedName>
    <definedName name="CAPITULOS" localSheetId="10">[11]PARTIDA!$H$2:$H$4</definedName>
    <definedName name="CAPITULOS" localSheetId="0">[12]PARTIDA!$H$2:$H$4</definedName>
    <definedName name="CAPITULOS" localSheetId="13">[13]PARTIDA!$H$2:$H$4</definedName>
    <definedName name="CAPITULOS" localSheetId="14">[14]PARTIDA!$H$2:$H$4</definedName>
    <definedName name="CAPITULOS">[15]PARTIDA!$H$2:$H$4</definedName>
    <definedName name="_xlnm.Print_Titles" localSheetId="2">CG!$1:$4</definedName>
    <definedName name="_xlnm.Print_Titles" localSheetId="1">JOE!$1:$4</definedName>
    <definedName name="_xlnm.Print_Titles" localSheetId="3">PGJE!$1:$4</definedName>
    <definedName name="_xlnm.Print_Titles" localSheetId="6">'SEP FONE 3000'!$1:$4</definedName>
    <definedName name="_xlnm.Print_Titles" localSheetId="7">SEPADA!$1:$4</definedName>
    <definedName name="_xlnm.Print_Titles" localSheetId="8">SEPUIMM!$1:$4</definedName>
    <definedName name="_xlnm.Print_Titles" localSheetId="9">SETUE!$1:$4</definedName>
    <definedName name="_xlnm.Print_Titles" localSheetId="11">SGG!$1:$4</definedName>
    <definedName name="_xlnm.Print_Titles" localSheetId="12">'SGG DESCONCENTRADOS'!$1:$4</definedName>
    <definedName name="_xlnm.Print_Titles" localSheetId="4">SJC!$1:$4</definedName>
    <definedName name="_xlnm.Print_Titles" localSheetId="10">SSA!$1:$4</definedName>
    <definedName name="_xlnm.Print_Titles" localSheetId="0">SSF!$1:$5</definedName>
    <definedName name="_xlnm.Print_Titles" localSheetId="14">STByDS!$1:$4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71" i="35" l="1"/>
  <c r="H71" i="35"/>
  <c r="D71" i="35"/>
  <c r="M70" i="35"/>
  <c r="H70" i="35"/>
  <c r="D70" i="35"/>
  <c r="M69" i="35"/>
  <c r="H69" i="35"/>
  <c r="D69" i="35"/>
  <c r="M68" i="35"/>
  <c r="H68" i="35"/>
  <c r="D68" i="35"/>
  <c r="M67" i="35"/>
  <c r="H67" i="35"/>
  <c r="D67" i="35"/>
  <c r="M66" i="35"/>
  <c r="H66" i="35"/>
  <c r="D66" i="35"/>
  <c r="M65" i="35"/>
  <c r="H65" i="35"/>
  <c r="D65" i="35"/>
  <c r="M64" i="35"/>
  <c r="H64" i="35"/>
  <c r="D64" i="35"/>
  <c r="M63" i="35"/>
  <c r="H63" i="35"/>
  <c r="D63" i="35"/>
  <c r="M62" i="35"/>
  <c r="H62" i="35"/>
  <c r="D62" i="35"/>
  <c r="M61" i="35"/>
  <c r="H61" i="35"/>
  <c r="D61" i="35"/>
  <c r="M60" i="35"/>
  <c r="H60" i="35"/>
  <c r="D60" i="35"/>
  <c r="M59" i="35"/>
  <c r="H59" i="35"/>
  <c r="D59" i="35"/>
  <c r="M58" i="35"/>
  <c r="H58" i="35"/>
  <c r="D58" i="35"/>
  <c r="M57" i="35"/>
  <c r="H57" i="35"/>
  <c r="D57" i="35"/>
  <c r="M56" i="35"/>
  <c r="H56" i="35"/>
  <c r="D56" i="35"/>
  <c r="M55" i="35"/>
  <c r="H55" i="35"/>
  <c r="D55" i="35"/>
  <c r="M54" i="35"/>
  <c r="H54" i="35"/>
  <c r="D54" i="35"/>
  <c r="M53" i="35"/>
  <c r="H53" i="35"/>
  <c r="D53" i="35"/>
  <c r="M52" i="35"/>
  <c r="H52" i="35"/>
  <c r="D52" i="35"/>
  <c r="M51" i="35"/>
  <c r="H51" i="35"/>
  <c r="D51" i="35"/>
  <c r="M50" i="35"/>
  <c r="H50" i="35"/>
  <c r="D50" i="35"/>
  <c r="M49" i="35"/>
  <c r="H49" i="35"/>
  <c r="D49" i="35"/>
  <c r="M48" i="35"/>
  <c r="H48" i="35"/>
  <c r="D48" i="35"/>
  <c r="M47" i="35"/>
  <c r="H47" i="35"/>
  <c r="D47" i="35"/>
  <c r="M46" i="35"/>
  <c r="H46" i="35"/>
  <c r="D46" i="35"/>
  <c r="M45" i="35"/>
  <c r="H45" i="35"/>
  <c r="D45" i="35"/>
  <c r="M44" i="35"/>
  <c r="H44" i="35"/>
  <c r="D44" i="35"/>
  <c r="M43" i="35"/>
  <c r="H43" i="35"/>
  <c r="D43" i="35"/>
  <c r="M42" i="35"/>
  <c r="H42" i="35"/>
  <c r="D42" i="35"/>
  <c r="M41" i="35"/>
  <c r="H41" i="35"/>
  <c r="D41" i="35"/>
  <c r="M40" i="35"/>
  <c r="H40" i="35"/>
  <c r="D40" i="35"/>
  <c r="M39" i="35"/>
  <c r="H39" i="35"/>
  <c r="D39" i="35"/>
  <c r="M38" i="35"/>
  <c r="H38" i="35"/>
  <c r="D38" i="35"/>
  <c r="M37" i="35"/>
  <c r="H37" i="35"/>
  <c r="D37" i="35"/>
  <c r="M36" i="35"/>
  <c r="H36" i="35"/>
  <c r="D36" i="35"/>
  <c r="M35" i="35"/>
  <c r="H35" i="35"/>
  <c r="D35" i="35"/>
  <c r="M34" i="35"/>
  <c r="H34" i="35"/>
  <c r="D34" i="35"/>
  <c r="M33" i="35"/>
  <c r="H33" i="35"/>
  <c r="D33" i="35"/>
  <c r="M32" i="35"/>
  <c r="H32" i="35"/>
  <c r="D32" i="35"/>
  <c r="M31" i="35"/>
  <c r="H31" i="35"/>
  <c r="D31" i="35"/>
  <c r="M30" i="35"/>
  <c r="H30" i="35"/>
  <c r="D30" i="35"/>
  <c r="M29" i="35"/>
  <c r="H29" i="35"/>
  <c r="D29" i="35"/>
  <c r="M28" i="35"/>
  <c r="H28" i="35"/>
  <c r="D28" i="35"/>
  <c r="M27" i="35"/>
  <c r="H27" i="35"/>
  <c r="D27" i="35"/>
  <c r="M26" i="35"/>
  <c r="H26" i="35"/>
  <c r="D26" i="35"/>
  <c r="M25" i="35"/>
  <c r="H25" i="35"/>
  <c r="D25" i="35"/>
  <c r="M24" i="35"/>
  <c r="H24" i="35"/>
  <c r="D24" i="35"/>
  <c r="M23" i="35"/>
  <c r="H23" i="35"/>
  <c r="D23" i="35"/>
  <c r="M22" i="35"/>
  <c r="H22" i="35"/>
  <c r="D22" i="35"/>
  <c r="M21" i="35"/>
  <c r="H21" i="35"/>
  <c r="D21" i="35"/>
  <c r="M20" i="35"/>
  <c r="H20" i="35"/>
  <c r="D20" i="35"/>
  <c r="M19" i="35"/>
  <c r="H19" i="35"/>
  <c r="D19" i="35"/>
  <c r="M18" i="35"/>
  <c r="H18" i="35"/>
  <c r="D18" i="35"/>
  <c r="M17" i="35"/>
  <c r="H17" i="35"/>
  <c r="D17" i="35"/>
  <c r="M16" i="35"/>
  <c r="H16" i="35"/>
  <c r="D16" i="35"/>
  <c r="M15" i="35"/>
  <c r="H15" i="35"/>
  <c r="D15" i="35"/>
  <c r="M14" i="35"/>
  <c r="H14" i="35"/>
  <c r="D14" i="35"/>
  <c r="M13" i="35"/>
  <c r="H13" i="35"/>
  <c r="D13" i="35"/>
  <c r="M12" i="35"/>
  <c r="H12" i="35"/>
  <c r="D12" i="35"/>
  <c r="M11" i="35"/>
  <c r="H11" i="35"/>
  <c r="D11" i="35"/>
  <c r="M10" i="35"/>
  <c r="H10" i="35"/>
  <c r="D10" i="35"/>
  <c r="M9" i="35"/>
  <c r="H9" i="35"/>
  <c r="D9" i="35"/>
  <c r="M8" i="35"/>
  <c r="H8" i="35"/>
  <c r="D8" i="35"/>
  <c r="M7" i="35"/>
  <c r="H7" i="35"/>
  <c r="D7" i="35"/>
  <c r="M6" i="35"/>
  <c r="H6" i="35"/>
  <c r="D6" i="35"/>
  <c r="M72" i="35" l="1"/>
  <c r="H149" i="33" l="1"/>
  <c r="D149" i="33"/>
  <c r="M148" i="33"/>
  <c r="H148" i="33"/>
  <c r="D148" i="33"/>
  <c r="M147" i="33"/>
  <c r="H147" i="33"/>
  <c r="D147" i="33"/>
  <c r="M146" i="33"/>
  <c r="H146" i="33"/>
  <c r="D146" i="33"/>
  <c r="M145" i="33"/>
  <c r="H145" i="33"/>
  <c r="D145" i="33"/>
  <c r="M144" i="33"/>
  <c r="H144" i="33"/>
  <c r="D144" i="33"/>
  <c r="M143" i="33"/>
  <c r="H143" i="33"/>
  <c r="D143" i="33"/>
  <c r="M142" i="33"/>
  <c r="H142" i="33"/>
  <c r="D142" i="33"/>
  <c r="M141" i="33"/>
  <c r="H141" i="33"/>
  <c r="D141" i="33"/>
  <c r="M140" i="33"/>
  <c r="H140" i="33"/>
  <c r="D140" i="33"/>
  <c r="M139" i="33"/>
  <c r="H139" i="33"/>
  <c r="D139" i="33"/>
  <c r="M138" i="33"/>
  <c r="H138" i="33"/>
  <c r="D138" i="33"/>
  <c r="M137" i="33"/>
  <c r="H137" i="33"/>
  <c r="D137" i="33"/>
  <c r="M136" i="33"/>
  <c r="H136" i="33"/>
  <c r="D136" i="33"/>
  <c r="M135" i="33"/>
  <c r="H135" i="33"/>
  <c r="D135" i="33"/>
  <c r="M134" i="33"/>
  <c r="H134" i="33"/>
  <c r="D134" i="33"/>
  <c r="M133" i="33"/>
  <c r="H133" i="33"/>
  <c r="D133" i="33"/>
  <c r="M132" i="33"/>
  <c r="H132" i="33"/>
  <c r="D132" i="33"/>
  <c r="M131" i="33"/>
  <c r="H131" i="33"/>
  <c r="D131" i="33"/>
  <c r="M130" i="33"/>
  <c r="H130" i="33"/>
  <c r="D130" i="33"/>
  <c r="M129" i="33"/>
  <c r="H129" i="33"/>
  <c r="D129" i="33"/>
  <c r="M128" i="33"/>
  <c r="H128" i="33"/>
  <c r="D128" i="33"/>
  <c r="M127" i="33"/>
  <c r="H127" i="33"/>
  <c r="D127" i="33"/>
  <c r="M126" i="33"/>
  <c r="H126" i="33"/>
  <c r="D126" i="33"/>
  <c r="M125" i="33"/>
  <c r="H125" i="33"/>
  <c r="D125" i="33"/>
  <c r="M124" i="33"/>
  <c r="H124" i="33"/>
  <c r="D124" i="33"/>
  <c r="M123" i="33"/>
  <c r="H123" i="33"/>
  <c r="D123" i="33"/>
  <c r="M122" i="33"/>
  <c r="H122" i="33"/>
  <c r="D122" i="33"/>
  <c r="M121" i="33"/>
  <c r="H121" i="33"/>
  <c r="D121" i="33"/>
  <c r="M120" i="33"/>
  <c r="H120" i="33"/>
  <c r="D120" i="33"/>
  <c r="M119" i="33"/>
  <c r="H119" i="33"/>
  <c r="D119" i="33"/>
  <c r="M118" i="33"/>
  <c r="H118" i="33"/>
  <c r="D118" i="33"/>
  <c r="M117" i="33"/>
  <c r="H117" i="33"/>
  <c r="D117" i="33"/>
  <c r="M116" i="33"/>
  <c r="H116" i="33"/>
  <c r="D116" i="33"/>
  <c r="M115" i="33"/>
  <c r="H115" i="33"/>
  <c r="D115" i="33"/>
  <c r="M114" i="33"/>
  <c r="H114" i="33"/>
  <c r="D114" i="33"/>
  <c r="M113" i="33"/>
  <c r="H113" i="33"/>
  <c r="D113" i="33"/>
  <c r="M112" i="33"/>
  <c r="H112" i="33"/>
  <c r="D112" i="33"/>
  <c r="M111" i="33"/>
  <c r="H111" i="33"/>
  <c r="D111" i="33"/>
  <c r="M110" i="33"/>
  <c r="H110" i="33"/>
  <c r="D110" i="33"/>
  <c r="M109" i="33"/>
  <c r="H109" i="33"/>
  <c r="D109" i="33"/>
  <c r="M108" i="33"/>
  <c r="H108" i="33"/>
  <c r="D108" i="33"/>
  <c r="M107" i="33"/>
  <c r="H107" i="33"/>
  <c r="D107" i="33"/>
  <c r="M106" i="33"/>
  <c r="H106" i="33"/>
  <c r="D106" i="33"/>
  <c r="M105" i="33"/>
  <c r="H105" i="33"/>
  <c r="D105" i="33"/>
  <c r="M104" i="33"/>
  <c r="H104" i="33"/>
  <c r="D104" i="33"/>
  <c r="M103" i="33"/>
  <c r="H103" i="33"/>
  <c r="D103" i="33"/>
  <c r="M102" i="33"/>
  <c r="H102" i="33"/>
  <c r="D102" i="33"/>
  <c r="M101" i="33"/>
  <c r="H101" i="33"/>
  <c r="D101" i="33"/>
  <c r="M100" i="33"/>
  <c r="H100" i="33"/>
  <c r="D100" i="33"/>
  <c r="M99" i="33"/>
  <c r="H99" i="33"/>
  <c r="D99" i="33"/>
  <c r="M98" i="33"/>
  <c r="H98" i="33"/>
  <c r="D98" i="33"/>
  <c r="M97" i="33"/>
  <c r="H97" i="33"/>
  <c r="D97" i="33"/>
  <c r="M96" i="33"/>
  <c r="H96" i="33"/>
  <c r="D96" i="33"/>
  <c r="M95" i="33"/>
  <c r="H95" i="33"/>
  <c r="D95" i="33"/>
  <c r="M94" i="33"/>
  <c r="H94" i="33"/>
  <c r="D94" i="33"/>
  <c r="M93" i="33"/>
  <c r="H93" i="33"/>
  <c r="D93" i="33"/>
  <c r="M92" i="33"/>
  <c r="H92" i="33"/>
  <c r="D92" i="33"/>
  <c r="M91" i="33"/>
  <c r="H91" i="33"/>
  <c r="D91" i="33"/>
  <c r="M90" i="33"/>
  <c r="H90" i="33"/>
  <c r="D90" i="33"/>
  <c r="M89" i="33"/>
  <c r="H89" i="33"/>
  <c r="D89" i="33"/>
  <c r="M88" i="33"/>
  <c r="H88" i="33"/>
  <c r="D88" i="33"/>
  <c r="M87" i="33"/>
  <c r="H87" i="33"/>
  <c r="D87" i="33"/>
  <c r="M86" i="33"/>
  <c r="H86" i="33"/>
  <c r="D86" i="33"/>
  <c r="M85" i="33"/>
  <c r="H85" i="33"/>
  <c r="D85" i="33"/>
  <c r="M84" i="33"/>
  <c r="H84" i="33"/>
  <c r="D84" i="33"/>
  <c r="M83" i="33"/>
  <c r="H83" i="33"/>
  <c r="D83" i="33"/>
  <c r="M82" i="33"/>
  <c r="H82" i="33"/>
  <c r="D82" i="33"/>
  <c r="M81" i="33"/>
  <c r="H81" i="33"/>
  <c r="D81" i="33"/>
  <c r="M80" i="33"/>
  <c r="H80" i="33"/>
  <c r="D80" i="33"/>
  <c r="M79" i="33"/>
  <c r="H79" i="33"/>
  <c r="D79" i="33"/>
  <c r="M78" i="33"/>
  <c r="H78" i="33"/>
  <c r="D78" i="33"/>
  <c r="M77" i="33"/>
  <c r="H77" i="33"/>
  <c r="D77" i="33"/>
  <c r="M76" i="33"/>
  <c r="H76" i="33"/>
  <c r="D76" i="33"/>
  <c r="M75" i="33"/>
  <c r="H75" i="33"/>
  <c r="D75" i="33"/>
  <c r="M74" i="33"/>
  <c r="H74" i="33"/>
  <c r="D74" i="33"/>
  <c r="M73" i="33"/>
  <c r="H73" i="33"/>
  <c r="D73" i="33"/>
  <c r="M72" i="33"/>
  <c r="H72" i="33"/>
  <c r="D72" i="33"/>
  <c r="M71" i="33"/>
  <c r="H71" i="33"/>
  <c r="D71" i="33"/>
  <c r="M70" i="33"/>
  <c r="H70" i="33"/>
  <c r="D70" i="33"/>
  <c r="M69" i="33"/>
  <c r="H69" i="33"/>
  <c r="D69" i="33"/>
  <c r="M68" i="33"/>
  <c r="H68" i="33"/>
  <c r="D68" i="33"/>
  <c r="M67" i="33"/>
  <c r="H67" i="33"/>
  <c r="D67" i="33"/>
  <c r="M66" i="33"/>
  <c r="H66" i="33"/>
  <c r="D66" i="33"/>
  <c r="M65" i="33"/>
  <c r="H65" i="33"/>
  <c r="D65" i="33"/>
  <c r="M64" i="33"/>
  <c r="H64" i="33"/>
  <c r="D64" i="33"/>
  <c r="M63" i="33"/>
  <c r="H63" i="33"/>
  <c r="D63" i="33"/>
  <c r="M62" i="33"/>
  <c r="H62" i="33"/>
  <c r="D62" i="33"/>
  <c r="M61" i="33"/>
  <c r="H61" i="33"/>
  <c r="D61" i="33"/>
  <c r="M60" i="33"/>
  <c r="H60" i="33"/>
  <c r="D60" i="33"/>
  <c r="M59" i="33"/>
  <c r="H59" i="33"/>
  <c r="D59" i="33"/>
  <c r="M58" i="33"/>
  <c r="H58" i="33"/>
  <c r="D58" i="33"/>
  <c r="M57" i="33"/>
  <c r="H57" i="33"/>
  <c r="D57" i="33"/>
  <c r="M56" i="33"/>
  <c r="H56" i="33"/>
  <c r="D56" i="33"/>
  <c r="M55" i="33"/>
  <c r="H55" i="33"/>
  <c r="D55" i="33"/>
  <c r="M54" i="33"/>
  <c r="H54" i="33"/>
  <c r="D54" i="33"/>
  <c r="M53" i="33"/>
  <c r="H53" i="33"/>
  <c r="D53" i="33"/>
  <c r="M52" i="33"/>
  <c r="H52" i="33"/>
  <c r="D52" i="33"/>
  <c r="M51" i="33"/>
  <c r="H51" i="33"/>
  <c r="D51" i="33"/>
  <c r="M50" i="33"/>
  <c r="H50" i="33"/>
  <c r="D50" i="33"/>
  <c r="M49" i="33"/>
  <c r="H49" i="33"/>
  <c r="D49" i="33"/>
  <c r="M48" i="33"/>
  <c r="H48" i="33"/>
  <c r="D48" i="33"/>
  <c r="M47" i="33"/>
  <c r="H47" i="33"/>
  <c r="D47" i="33"/>
  <c r="M46" i="33"/>
  <c r="H46" i="33"/>
  <c r="D46" i="33"/>
  <c r="M45" i="33"/>
  <c r="H45" i="33"/>
  <c r="D45" i="33"/>
  <c r="M44" i="33"/>
  <c r="H44" i="33"/>
  <c r="D44" i="33"/>
  <c r="M43" i="33"/>
  <c r="H43" i="33"/>
  <c r="D43" i="33"/>
  <c r="M42" i="33"/>
  <c r="H42" i="33"/>
  <c r="D42" i="33"/>
  <c r="M41" i="33"/>
  <c r="H41" i="33"/>
  <c r="D41" i="33"/>
  <c r="M40" i="33"/>
  <c r="H40" i="33"/>
  <c r="D40" i="33"/>
  <c r="M39" i="33"/>
  <c r="H39" i="33"/>
  <c r="D39" i="33"/>
  <c r="M38" i="33"/>
  <c r="H38" i="33"/>
  <c r="D38" i="33"/>
  <c r="M37" i="33"/>
  <c r="H37" i="33"/>
  <c r="D37" i="33"/>
  <c r="M36" i="33"/>
  <c r="H36" i="33"/>
  <c r="D36" i="33"/>
  <c r="M35" i="33"/>
  <c r="H35" i="33"/>
  <c r="D35" i="33"/>
  <c r="M34" i="33"/>
  <c r="H34" i="33"/>
  <c r="D34" i="33"/>
  <c r="M33" i="33"/>
  <c r="H33" i="33"/>
  <c r="D33" i="33"/>
  <c r="M32" i="33"/>
  <c r="H32" i="33"/>
  <c r="D32" i="33"/>
  <c r="M31" i="33"/>
  <c r="H31" i="33"/>
  <c r="D31" i="33"/>
  <c r="M30" i="33"/>
  <c r="H30" i="33"/>
  <c r="D30" i="33"/>
  <c r="M29" i="33"/>
  <c r="H29" i="33"/>
  <c r="D29" i="33"/>
  <c r="M28" i="33"/>
  <c r="H28" i="33"/>
  <c r="D28" i="33"/>
  <c r="M27" i="33"/>
  <c r="H27" i="33"/>
  <c r="D27" i="33"/>
  <c r="M26" i="33"/>
  <c r="H26" i="33"/>
  <c r="D26" i="33"/>
  <c r="M25" i="33"/>
  <c r="H25" i="33"/>
  <c r="D25" i="33"/>
  <c r="M24" i="33"/>
  <c r="H24" i="33"/>
  <c r="D24" i="33"/>
  <c r="M23" i="33"/>
  <c r="H23" i="33"/>
  <c r="D23" i="33"/>
  <c r="M22" i="33"/>
  <c r="H22" i="33"/>
  <c r="D22" i="33"/>
  <c r="M21" i="33"/>
  <c r="H21" i="33"/>
  <c r="D21" i="33"/>
  <c r="M20" i="33"/>
  <c r="H20" i="33"/>
  <c r="D20" i="33"/>
  <c r="M19" i="33"/>
  <c r="H19" i="33"/>
  <c r="D19" i="33"/>
  <c r="M18" i="33"/>
  <c r="H18" i="33"/>
  <c r="D18" i="33"/>
  <c r="M17" i="33"/>
  <c r="H17" i="33"/>
  <c r="D17" i="33"/>
  <c r="M16" i="33"/>
  <c r="H16" i="33"/>
  <c r="D16" i="33"/>
  <c r="M15" i="33"/>
  <c r="H15" i="33"/>
  <c r="D15" i="33"/>
  <c r="M14" i="33"/>
  <c r="H14" i="33"/>
  <c r="D14" i="33"/>
  <c r="M13" i="33"/>
  <c r="H13" i="33"/>
  <c r="D13" i="33"/>
  <c r="M12" i="33"/>
  <c r="H12" i="33"/>
  <c r="D12" i="33"/>
  <c r="M11" i="33"/>
  <c r="H11" i="33"/>
  <c r="D11" i="33"/>
  <c r="M10" i="33"/>
  <c r="H10" i="33"/>
  <c r="D10" i="33"/>
  <c r="M9" i="33"/>
  <c r="H9" i="33"/>
  <c r="D9" i="33"/>
  <c r="M8" i="33"/>
  <c r="H8" i="33"/>
  <c r="D8" i="33"/>
  <c r="M7" i="33"/>
  <c r="H7" i="33"/>
  <c r="D7" i="33"/>
  <c r="M6" i="33"/>
  <c r="H6" i="33"/>
  <c r="D6" i="33"/>
  <c r="M5" i="33"/>
  <c r="H5" i="33"/>
  <c r="D5" i="33"/>
  <c r="M150" i="33" l="1"/>
  <c r="M143" i="30"/>
  <c r="H143" i="30"/>
  <c r="D143" i="30"/>
  <c r="K142" i="30"/>
  <c r="M142" i="30" s="1"/>
  <c r="H142" i="30"/>
  <c r="D142" i="30"/>
  <c r="M141" i="30"/>
  <c r="H141" i="30"/>
  <c r="D141" i="30"/>
  <c r="K140" i="30"/>
  <c r="M140" i="30" s="1"/>
  <c r="H140" i="30"/>
  <c r="D140" i="30"/>
  <c r="M139" i="30"/>
  <c r="H139" i="30"/>
  <c r="D139" i="30"/>
  <c r="M138" i="30"/>
  <c r="H138" i="30"/>
  <c r="D138" i="30"/>
  <c r="K137" i="30"/>
  <c r="M137" i="30" s="1"/>
  <c r="H137" i="30"/>
  <c r="D137" i="30"/>
  <c r="M136" i="30"/>
  <c r="H136" i="30"/>
  <c r="D136" i="30"/>
  <c r="M135" i="30"/>
  <c r="H135" i="30"/>
  <c r="D135" i="30"/>
  <c r="M134" i="30"/>
  <c r="H134" i="30"/>
  <c r="D134" i="30"/>
  <c r="M133" i="30"/>
  <c r="H133" i="30"/>
  <c r="D133" i="30"/>
  <c r="M132" i="30"/>
  <c r="H132" i="30"/>
  <c r="D132" i="30"/>
  <c r="K131" i="30"/>
  <c r="M131" i="30" s="1"/>
  <c r="J131" i="30"/>
  <c r="I131" i="30"/>
  <c r="H131" i="30"/>
  <c r="D131" i="30"/>
  <c r="K130" i="30"/>
  <c r="J130" i="30"/>
  <c r="M130" i="30" s="1"/>
  <c r="H130" i="30"/>
  <c r="D130" i="30"/>
  <c r="M129" i="30"/>
  <c r="H129" i="30"/>
  <c r="D129" i="30"/>
  <c r="M128" i="30"/>
  <c r="H128" i="30"/>
  <c r="D128" i="30"/>
  <c r="M127" i="30"/>
  <c r="K127" i="30"/>
  <c r="H127" i="30"/>
  <c r="D127" i="30"/>
  <c r="K126" i="30"/>
  <c r="M126" i="30" s="1"/>
  <c r="H126" i="30"/>
  <c r="D126" i="30"/>
  <c r="M125" i="30"/>
  <c r="H125" i="30"/>
  <c r="D125" i="30"/>
  <c r="M124" i="30"/>
  <c r="H124" i="30"/>
  <c r="D124" i="30"/>
  <c r="K123" i="30"/>
  <c r="M123" i="30" s="1"/>
  <c r="H123" i="30"/>
  <c r="D123" i="30"/>
  <c r="M122" i="30"/>
  <c r="H122" i="30"/>
  <c r="D122" i="30"/>
  <c r="M121" i="30"/>
  <c r="H121" i="30"/>
  <c r="D121" i="30"/>
  <c r="M120" i="30"/>
  <c r="H120" i="30"/>
  <c r="D120" i="30"/>
  <c r="M119" i="30"/>
  <c r="H119" i="30"/>
  <c r="D119" i="30"/>
  <c r="M118" i="30"/>
  <c r="H118" i="30"/>
  <c r="D118" i="30"/>
  <c r="M117" i="30"/>
  <c r="H117" i="30"/>
  <c r="D117" i="30"/>
  <c r="K116" i="30"/>
  <c r="M116" i="30" s="1"/>
  <c r="H116" i="30"/>
  <c r="D116" i="30"/>
  <c r="M115" i="30"/>
  <c r="H115" i="30"/>
  <c r="D115" i="30"/>
  <c r="K114" i="30"/>
  <c r="J114" i="30"/>
  <c r="I114" i="30"/>
  <c r="M114" i="30" s="1"/>
  <c r="H114" i="30"/>
  <c r="D114" i="30"/>
  <c r="M113" i="30"/>
  <c r="H113" i="30"/>
  <c r="D113" i="30"/>
  <c r="K112" i="30"/>
  <c r="M112" i="30" s="1"/>
  <c r="J112" i="30"/>
  <c r="H112" i="30"/>
  <c r="D112" i="30"/>
  <c r="M111" i="30"/>
  <c r="H111" i="30"/>
  <c r="D111" i="30"/>
  <c r="K110" i="30"/>
  <c r="M110" i="30" s="1"/>
  <c r="H110" i="30"/>
  <c r="D110" i="30"/>
  <c r="M109" i="30"/>
  <c r="H109" i="30"/>
  <c r="D109" i="30"/>
  <c r="K108" i="30"/>
  <c r="M108" i="30" s="1"/>
  <c r="J108" i="30"/>
  <c r="H108" i="30"/>
  <c r="D108" i="30"/>
  <c r="M107" i="30"/>
  <c r="H107" i="30"/>
  <c r="D107" i="30"/>
  <c r="M106" i="30"/>
  <c r="H106" i="30"/>
  <c r="D106" i="30"/>
  <c r="M105" i="30"/>
  <c r="H105" i="30"/>
  <c r="D105" i="30"/>
  <c r="M104" i="30"/>
  <c r="H104" i="30"/>
  <c r="D104" i="30"/>
  <c r="M103" i="30"/>
  <c r="H103" i="30"/>
  <c r="D103" i="30"/>
  <c r="M102" i="30"/>
  <c r="H102" i="30"/>
  <c r="D102" i="30"/>
  <c r="K101" i="30"/>
  <c r="M101" i="30" s="1"/>
  <c r="H101" i="30"/>
  <c r="D101" i="30"/>
  <c r="M100" i="30"/>
  <c r="H100" i="30"/>
  <c r="D100" i="30"/>
  <c r="M99" i="30"/>
  <c r="H99" i="30"/>
  <c r="D99" i="30"/>
  <c r="M98" i="30"/>
  <c r="H98" i="30"/>
  <c r="D98" i="30"/>
  <c r="M97" i="30"/>
  <c r="H97" i="30"/>
  <c r="D97" i="30"/>
  <c r="J96" i="30"/>
  <c r="M96" i="30" s="1"/>
  <c r="H96" i="30"/>
  <c r="D96" i="30"/>
  <c r="M95" i="30"/>
  <c r="H95" i="30"/>
  <c r="D95" i="30"/>
  <c r="J94" i="30"/>
  <c r="M94" i="30" s="1"/>
  <c r="H94" i="30"/>
  <c r="D94" i="30"/>
  <c r="M93" i="30"/>
  <c r="K93" i="30"/>
  <c r="J93" i="30"/>
  <c r="H93" i="30"/>
  <c r="D93" i="30"/>
  <c r="M92" i="30"/>
  <c r="K92" i="30"/>
  <c r="H92" i="30"/>
  <c r="D92" i="30"/>
  <c r="K91" i="30"/>
  <c r="M91" i="30" s="1"/>
  <c r="H91" i="30"/>
  <c r="D91" i="30"/>
  <c r="M90" i="30"/>
  <c r="H90" i="30"/>
  <c r="D90" i="30"/>
  <c r="M89" i="30"/>
  <c r="H89" i="30"/>
  <c r="D89" i="30"/>
  <c r="M88" i="30"/>
  <c r="H88" i="30"/>
  <c r="D88" i="30"/>
  <c r="M87" i="30"/>
  <c r="H87" i="30"/>
  <c r="D87" i="30"/>
  <c r="K86" i="30"/>
  <c r="M86" i="30" s="1"/>
  <c r="H86" i="30"/>
  <c r="D86" i="30"/>
  <c r="M85" i="30"/>
  <c r="H85" i="30"/>
  <c r="D85" i="30"/>
  <c r="M84" i="30"/>
  <c r="H84" i="30"/>
  <c r="D84" i="30"/>
  <c r="M83" i="30"/>
  <c r="H83" i="30"/>
  <c r="D83" i="30"/>
  <c r="M82" i="30"/>
  <c r="H82" i="30"/>
  <c r="D82" i="30"/>
  <c r="M81" i="30"/>
  <c r="H81" i="30"/>
  <c r="D81" i="30"/>
  <c r="M80" i="30"/>
  <c r="H80" i="30"/>
  <c r="D80" i="30"/>
  <c r="M79" i="30"/>
  <c r="H79" i="30"/>
  <c r="D79" i="30"/>
  <c r="M78" i="30"/>
  <c r="H78" i="30"/>
  <c r="D78" i="30"/>
  <c r="M77" i="30"/>
  <c r="H77" i="30"/>
  <c r="D77" i="30"/>
  <c r="M76" i="30"/>
  <c r="H76" i="30"/>
  <c r="D76" i="30"/>
  <c r="M75" i="30"/>
  <c r="H75" i="30"/>
  <c r="D75" i="30"/>
  <c r="K74" i="30"/>
  <c r="M74" i="30" s="1"/>
  <c r="H74" i="30"/>
  <c r="D74" i="30"/>
  <c r="M73" i="30"/>
  <c r="H73" i="30"/>
  <c r="D73" i="30"/>
  <c r="M72" i="30"/>
  <c r="H72" i="30"/>
  <c r="D72" i="30"/>
  <c r="M71" i="30"/>
  <c r="H71" i="30"/>
  <c r="D71" i="30"/>
  <c r="K70" i="30"/>
  <c r="M70" i="30" s="1"/>
  <c r="H70" i="30"/>
  <c r="D70" i="30"/>
  <c r="M69" i="30"/>
  <c r="H69" i="30"/>
  <c r="D69" i="30"/>
  <c r="M68" i="30"/>
  <c r="K68" i="30"/>
  <c r="H68" i="30"/>
  <c r="D68" i="30"/>
  <c r="M67" i="30"/>
  <c r="H67" i="30"/>
  <c r="D67" i="30"/>
  <c r="M66" i="30"/>
  <c r="H66" i="30"/>
  <c r="D66" i="30"/>
  <c r="K65" i="30"/>
  <c r="M65" i="30" s="1"/>
  <c r="H65" i="30"/>
  <c r="D65" i="30"/>
  <c r="M64" i="30"/>
  <c r="K64" i="30"/>
  <c r="J64" i="30"/>
  <c r="H64" i="30"/>
  <c r="D64" i="30"/>
  <c r="M63" i="30"/>
  <c r="K63" i="30"/>
  <c r="H63" i="30"/>
  <c r="D63" i="30"/>
  <c r="K62" i="30"/>
  <c r="M62" i="30" s="1"/>
  <c r="H62" i="30"/>
  <c r="D62" i="30"/>
  <c r="K61" i="30"/>
  <c r="J61" i="30"/>
  <c r="I61" i="30"/>
  <c r="M61" i="30" s="1"/>
  <c r="H61" i="30"/>
  <c r="D61" i="30"/>
  <c r="M60" i="30"/>
  <c r="H60" i="30"/>
  <c r="D60" i="30"/>
  <c r="K59" i="30"/>
  <c r="J59" i="30"/>
  <c r="M59" i="30" s="1"/>
  <c r="H59" i="30"/>
  <c r="D59" i="30"/>
  <c r="M58" i="30"/>
  <c r="H58" i="30"/>
  <c r="D58" i="30"/>
  <c r="M57" i="30"/>
  <c r="H57" i="30"/>
  <c r="D57" i="30"/>
  <c r="M56" i="30"/>
  <c r="H56" i="30"/>
  <c r="D56" i="30"/>
  <c r="M55" i="30"/>
  <c r="H55" i="30"/>
  <c r="D55" i="30"/>
  <c r="K54" i="30"/>
  <c r="J54" i="30"/>
  <c r="M54" i="30" s="1"/>
  <c r="H54" i="30"/>
  <c r="D54" i="30"/>
  <c r="K53" i="30"/>
  <c r="J53" i="30"/>
  <c r="M53" i="30" s="1"/>
  <c r="H53" i="30"/>
  <c r="D53" i="30"/>
  <c r="K52" i="30"/>
  <c r="M52" i="30" s="1"/>
  <c r="H52" i="30"/>
  <c r="D52" i="30"/>
  <c r="M51" i="30"/>
  <c r="H51" i="30"/>
  <c r="D51" i="30"/>
  <c r="M50" i="30"/>
  <c r="H50" i="30"/>
  <c r="D50" i="30"/>
  <c r="J49" i="30"/>
  <c r="M49" i="30" s="1"/>
  <c r="H49" i="30"/>
  <c r="D49" i="30"/>
  <c r="K48" i="30"/>
  <c r="J48" i="30"/>
  <c r="H48" i="30"/>
  <c r="D48" i="30"/>
  <c r="J47" i="30"/>
  <c r="M47" i="30" s="1"/>
  <c r="H47" i="30"/>
  <c r="D47" i="30"/>
  <c r="K46" i="30"/>
  <c r="M46" i="30" s="1"/>
  <c r="H46" i="30"/>
  <c r="D46" i="30"/>
  <c r="K45" i="30"/>
  <c r="M45" i="30" s="1"/>
  <c r="H45" i="30"/>
  <c r="D45" i="30"/>
  <c r="M44" i="30"/>
  <c r="J44" i="30"/>
  <c r="H44" i="30"/>
  <c r="D44" i="30"/>
  <c r="M43" i="30"/>
  <c r="H43" i="30"/>
  <c r="D43" i="30"/>
  <c r="M42" i="30"/>
  <c r="H42" i="30"/>
  <c r="D42" i="30"/>
  <c r="M41" i="30"/>
  <c r="H41" i="30"/>
  <c r="D41" i="30"/>
  <c r="M40" i="30"/>
  <c r="H40" i="30"/>
  <c r="D40" i="30"/>
  <c r="M39" i="30"/>
  <c r="H39" i="30"/>
  <c r="D39" i="30"/>
  <c r="M38" i="30"/>
  <c r="H38" i="30"/>
  <c r="D38" i="30"/>
  <c r="K37" i="30"/>
  <c r="J37" i="30"/>
  <c r="M37" i="30" s="1"/>
  <c r="H37" i="30"/>
  <c r="D37" i="30"/>
  <c r="K36" i="30"/>
  <c r="J36" i="30"/>
  <c r="I36" i="30"/>
  <c r="H36" i="30"/>
  <c r="D36" i="30"/>
  <c r="K35" i="30"/>
  <c r="J35" i="30"/>
  <c r="H35" i="30"/>
  <c r="D35" i="30"/>
  <c r="K34" i="30"/>
  <c r="J34" i="30"/>
  <c r="I34" i="30"/>
  <c r="H34" i="30"/>
  <c r="D34" i="30"/>
  <c r="K33" i="30"/>
  <c r="J33" i="30"/>
  <c r="H33" i="30"/>
  <c r="D33" i="30"/>
  <c r="K32" i="30"/>
  <c r="J32" i="30"/>
  <c r="I32" i="30"/>
  <c r="H32" i="30"/>
  <c r="D32" i="30"/>
  <c r="K31" i="30"/>
  <c r="J31" i="30"/>
  <c r="M31" i="30" s="1"/>
  <c r="H31" i="30"/>
  <c r="D31" i="30"/>
  <c r="K30" i="30"/>
  <c r="M30" i="30" s="1"/>
  <c r="H30" i="30"/>
  <c r="D30" i="30"/>
  <c r="M29" i="30"/>
  <c r="H29" i="30"/>
  <c r="D29" i="30"/>
  <c r="J28" i="30"/>
  <c r="M28" i="30" s="1"/>
  <c r="H28" i="30"/>
  <c r="D28" i="30"/>
  <c r="K27" i="30"/>
  <c r="M27" i="30" s="1"/>
  <c r="H27" i="30"/>
  <c r="D27" i="30"/>
  <c r="M26" i="30"/>
  <c r="H26" i="30"/>
  <c r="D26" i="30"/>
  <c r="M25" i="30"/>
  <c r="H25" i="30"/>
  <c r="D25" i="30"/>
  <c r="M24" i="30"/>
  <c r="H24" i="30"/>
  <c r="D24" i="30"/>
  <c r="M23" i="30"/>
  <c r="H23" i="30"/>
  <c r="D23" i="30"/>
  <c r="K22" i="30"/>
  <c r="M22" i="30" s="1"/>
  <c r="J22" i="30"/>
  <c r="H22" i="30"/>
  <c r="D22" i="30"/>
  <c r="K21" i="30"/>
  <c r="M21" i="30" s="1"/>
  <c r="H21" i="30"/>
  <c r="D21" i="30"/>
  <c r="M20" i="30"/>
  <c r="H20" i="30"/>
  <c r="D20" i="30"/>
  <c r="K19" i="30"/>
  <c r="M19" i="30" s="1"/>
  <c r="H19" i="30"/>
  <c r="D19" i="30"/>
  <c r="M18" i="30"/>
  <c r="H18" i="30"/>
  <c r="D18" i="30"/>
  <c r="M17" i="30"/>
  <c r="H17" i="30"/>
  <c r="D17" i="30"/>
  <c r="K16" i="30"/>
  <c r="J16" i="30"/>
  <c r="I16" i="30"/>
  <c r="H16" i="30"/>
  <c r="D16" i="30"/>
  <c r="K15" i="30"/>
  <c r="I15" i="30"/>
  <c r="H15" i="30"/>
  <c r="D15" i="30"/>
  <c r="K14" i="30"/>
  <c r="J14" i="30"/>
  <c r="I14" i="30"/>
  <c r="M14" i="30" s="1"/>
  <c r="H14" i="30"/>
  <c r="D14" i="30"/>
  <c r="K13" i="30"/>
  <c r="M13" i="30" s="1"/>
  <c r="H13" i="30"/>
  <c r="D13" i="30"/>
  <c r="K12" i="30"/>
  <c r="J12" i="30"/>
  <c r="M12" i="30" s="1"/>
  <c r="H12" i="30"/>
  <c r="D12" i="30"/>
  <c r="M11" i="30"/>
  <c r="H11" i="30"/>
  <c r="D11" i="30"/>
  <c r="M10" i="30"/>
  <c r="H10" i="30"/>
  <c r="D10" i="30"/>
  <c r="K9" i="30"/>
  <c r="J9" i="30"/>
  <c r="M9" i="30" s="1"/>
  <c r="H9" i="30"/>
  <c r="D9" i="30"/>
  <c r="M8" i="30"/>
  <c r="H8" i="30"/>
  <c r="D8" i="30"/>
  <c r="M7" i="30"/>
  <c r="H7" i="30"/>
  <c r="D7" i="30"/>
  <c r="M6" i="30"/>
  <c r="H6" i="30"/>
  <c r="K5" i="30"/>
  <c r="M5" i="30" s="1"/>
  <c r="J5" i="30"/>
  <c r="H5" i="30"/>
  <c r="D5" i="30"/>
  <c r="M16" i="30" l="1"/>
  <c r="M34" i="30"/>
  <c r="M48" i="30"/>
  <c r="M35" i="30"/>
  <c r="M32" i="30"/>
  <c r="J146" i="30"/>
  <c r="M36" i="30"/>
  <c r="M15" i="30"/>
  <c r="M33" i="30"/>
  <c r="M145" i="30"/>
  <c r="M83" i="29" l="1"/>
  <c r="M25" i="29"/>
  <c r="M24" i="29"/>
  <c r="M23" i="29"/>
  <c r="M22" i="29"/>
  <c r="M21" i="29"/>
  <c r="M20" i="29"/>
  <c r="M19" i="29"/>
  <c r="M18" i="29"/>
  <c r="M17" i="29"/>
  <c r="M16" i="29"/>
  <c r="M15" i="29"/>
  <c r="M14" i="29"/>
  <c r="M13" i="29"/>
  <c r="M12" i="29"/>
  <c r="M11" i="29"/>
  <c r="M10" i="29"/>
  <c r="M9" i="29"/>
  <c r="M8" i="29"/>
  <c r="M7" i="29"/>
  <c r="M6" i="29"/>
  <c r="M5" i="29"/>
  <c r="M84" i="29" s="1"/>
  <c r="M80" i="28" l="1"/>
  <c r="M81" i="28" s="1"/>
  <c r="L79" i="28"/>
  <c r="K79" i="28"/>
  <c r="J79" i="28"/>
  <c r="I79" i="28"/>
  <c r="H79" i="28"/>
  <c r="D79" i="28"/>
  <c r="L78" i="28"/>
  <c r="K78" i="28"/>
  <c r="J78" i="28"/>
  <c r="I78" i="28"/>
  <c r="H78" i="28"/>
  <c r="D78" i="28"/>
  <c r="L77" i="28"/>
  <c r="K77" i="28"/>
  <c r="J77" i="28"/>
  <c r="I77" i="28"/>
  <c r="H77" i="28"/>
  <c r="D77" i="28"/>
  <c r="L76" i="28"/>
  <c r="K76" i="28"/>
  <c r="J76" i="28"/>
  <c r="I76" i="28"/>
  <c r="H76" i="28"/>
  <c r="D76" i="28"/>
  <c r="L75" i="28"/>
  <c r="K75" i="28"/>
  <c r="J75" i="28"/>
  <c r="I75" i="28"/>
  <c r="H75" i="28"/>
  <c r="D75" i="28"/>
  <c r="L74" i="28"/>
  <c r="K74" i="28"/>
  <c r="J74" i="28"/>
  <c r="I74" i="28"/>
  <c r="H74" i="28"/>
  <c r="D74" i="28"/>
  <c r="L73" i="28"/>
  <c r="K73" i="28"/>
  <c r="J73" i="28"/>
  <c r="I73" i="28"/>
  <c r="H73" i="28"/>
  <c r="D73" i="28"/>
  <c r="L72" i="28"/>
  <c r="K72" i="28"/>
  <c r="J72" i="28"/>
  <c r="I72" i="28"/>
  <c r="H72" i="28"/>
  <c r="D72" i="28"/>
  <c r="L71" i="28"/>
  <c r="K71" i="28"/>
  <c r="J71" i="28"/>
  <c r="I71" i="28"/>
  <c r="H71" i="28"/>
  <c r="D71" i="28"/>
  <c r="L70" i="28"/>
  <c r="K70" i="28"/>
  <c r="J70" i="28"/>
  <c r="I70" i="28"/>
  <c r="H70" i="28"/>
  <c r="D70" i="28"/>
  <c r="L69" i="28"/>
  <c r="K69" i="28"/>
  <c r="J69" i="28"/>
  <c r="I69" i="28"/>
  <c r="H69" i="28"/>
  <c r="D69" i="28"/>
  <c r="L68" i="28"/>
  <c r="K68" i="28"/>
  <c r="J68" i="28"/>
  <c r="I68" i="28"/>
  <c r="H68" i="28"/>
  <c r="D68" i="28"/>
  <c r="L67" i="28"/>
  <c r="K67" i="28"/>
  <c r="J67" i="28"/>
  <c r="I67" i="28"/>
  <c r="H67" i="28"/>
  <c r="D67" i="28"/>
  <c r="L66" i="28"/>
  <c r="K66" i="28"/>
  <c r="J66" i="28"/>
  <c r="I66" i="28"/>
  <c r="H66" i="28"/>
  <c r="D66" i="28"/>
  <c r="L65" i="28"/>
  <c r="K65" i="28"/>
  <c r="J65" i="28"/>
  <c r="I65" i="28"/>
  <c r="H65" i="28"/>
  <c r="D65" i="28"/>
  <c r="L64" i="28"/>
  <c r="K64" i="28"/>
  <c r="J64" i="28"/>
  <c r="I64" i="28"/>
  <c r="H64" i="28"/>
  <c r="D64" i="28"/>
  <c r="L63" i="28"/>
  <c r="K63" i="28"/>
  <c r="J63" i="28"/>
  <c r="I63" i="28"/>
  <c r="H63" i="28"/>
  <c r="D63" i="28"/>
  <c r="L62" i="28"/>
  <c r="K62" i="28"/>
  <c r="J62" i="28"/>
  <c r="I62" i="28"/>
  <c r="H62" i="28"/>
  <c r="D62" i="28"/>
  <c r="L61" i="28"/>
  <c r="K61" i="28"/>
  <c r="J61" i="28"/>
  <c r="I61" i="28"/>
  <c r="H61" i="28"/>
  <c r="D61" i="28"/>
  <c r="L60" i="28"/>
  <c r="K60" i="28"/>
  <c r="J60" i="28"/>
  <c r="I60" i="28"/>
  <c r="H60" i="28"/>
  <c r="D60" i="28"/>
  <c r="L59" i="28"/>
  <c r="K59" i="28"/>
  <c r="J59" i="28"/>
  <c r="I59" i="28"/>
  <c r="H59" i="28"/>
  <c r="D59" i="28"/>
  <c r="L58" i="28"/>
  <c r="K58" i="28"/>
  <c r="J58" i="28"/>
  <c r="I58" i="28"/>
  <c r="H58" i="28"/>
  <c r="D58" i="28"/>
  <c r="L57" i="28"/>
  <c r="K57" i="28"/>
  <c r="J57" i="28"/>
  <c r="I57" i="28"/>
  <c r="H57" i="28"/>
  <c r="D57" i="28"/>
  <c r="L56" i="28"/>
  <c r="K56" i="28"/>
  <c r="J56" i="28"/>
  <c r="I56" i="28"/>
  <c r="H56" i="28"/>
  <c r="D56" i="28"/>
  <c r="L55" i="28"/>
  <c r="K55" i="28"/>
  <c r="J55" i="28"/>
  <c r="I55" i="28"/>
  <c r="H55" i="28"/>
  <c r="D55" i="28"/>
  <c r="L54" i="28"/>
  <c r="K54" i="28"/>
  <c r="J54" i="28"/>
  <c r="I54" i="28"/>
  <c r="H54" i="28"/>
  <c r="D54" i="28"/>
  <c r="L53" i="28"/>
  <c r="K53" i="28"/>
  <c r="J53" i="28"/>
  <c r="I53" i="28"/>
  <c r="H53" i="28"/>
  <c r="D53" i="28"/>
  <c r="L52" i="28"/>
  <c r="K52" i="28"/>
  <c r="J52" i="28"/>
  <c r="I52" i="28"/>
  <c r="H52" i="28"/>
  <c r="D52" i="28"/>
  <c r="L51" i="28"/>
  <c r="K51" i="28"/>
  <c r="J51" i="28"/>
  <c r="I51" i="28"/>
  <c r="H51" i="28"/>
  <c r="D51" i="28"/>
  <c r="L50" i="28"/>
  <c r="K50" i="28"/>
  <c r="J50" i="28"/>
  <c r="I50" i="28"/>
  <c r="H50" i="28"/>
  <c r="D50" i="28"/>
  <c r="L49" i="28"/>
  <c r="K49" i="28"/>
  <c r="J49" i="28"/>
  <c r="I49" i="28"/>
  <c r="H49" i="28"/>
  <c r="D49" i="28"/>
  <c r="L48" i="28"/>
  <c r="K48" i="28"/>
  <c r="J48" i="28"/>
  <c r="I48" i="28"/>
  <c r="H48" i="28"/>
  <c r="D48" i="28"/>
  <c r="L47" i="28"/>
  <c r="K47" i="28"/>
  <c r="J47" i="28"/>
  <c r="I47" i="28"/>
  <c r="H47" i="28"/>
  <c r="D47" i="28"/>
  <c r="L46" i="28"/>
  <c r="K46" i="28"/>
  <c r="J46" i="28"/>
  <c r="I46" i="28"/>
  <c r="H46" i="28"/>
  <c r="D46" i="28"/>
  <c r="L45" i="28"/>
  <c r="K45" i="28"/>
  <c r="J45" i="28"/>
  <c r="I45" i="28"/>
  <c r="H45" i="28"/>
  <c r="D45" i="28"/>
  <c r="L44" i="28"/>
  <c r="K44" i="28"/>
  <c r="J44" i="28"/>
  <c r="I44" i="28"/>
  <c r="H44" i="28"/>
  <c r="D44" i="28"/>
  <c r="L43" i="28"/>
  <c r="K43" i="28"/>
  <c r="J43" i="28"/>
  <c r="I43" i="28"/>
  <c r="H43" i="28"/>
  <c r="D43" i="28"/>
  <c r="L42" i="28"/>
  <c r="K42" i="28"/>
  <c r="J42" i="28"/>
  <c r="I42" i="28"/>
  <c r="H42" i="28"/>
  <c r="D42" i="28"/>
  <c r="L41" i="28"/>
  <c r="K41" i="28"/>
  <c r="J41" i="28"/>
  <c r="I41" i="28"/>
  <c r="H41" i="28"/>
  <c r="D41" i="28"/>
  <c r="L40" i="28"/>
  <c r="K40" i="28"/>
  <c r="J40" i="28"/>
  <c r="I40" i="28"/>
  <c r="H40" i="28"/>
  <c r="D40" i="28"/>
  <c r="L39" i="28"/>
  <c r="K39" i="28"/>
  <c r="J39" i="28"/>
  <c r="I39" i="28"/>
  <c r="H39" i="28"/>
  <c r="D39" i="28"/>
  <c r="L38" i="28"/>
  <c r="K38" i="28"/>
  <c r="J38" i="28"/>
  <c r="I38" i="28"/>
  <c r="H38" i="28"/>
  <c r="D38" i="28"/>
  <c r="L37" i="28"/>
  <c r="K37" i="28"/>
  <c r="J37" i="28"/>
  <c r="I37" i="28"/>
  <c r="H37" i="28"/>
  <c r="D37" i="28"/>
  <c r="L36" i="28"/>
  <c r="K36" i="28"/>
  <c r="J36" i="28"/>
  <c r="I36" i="28"/>
  <c r="H36" i="28"/>
  <c r="D36" i="28"/>
  <c r="L35" i="28"/>
  <c r="K35" i="28"/>
  <c r="J35" i="28"/>
  <c r="I35" i="28"/>
  <c r="H35" i="28"/>
  <c r="D35" i="28"/>
  <c r="L34" i="28"/>
  <c r="K34" i="28"/>
  <c r="J34" i="28"/>
  <c r="I34" i="28"/>
  <c r="H34" i="28"/>
  <c r="D34" i="28"/>
  <c r="L33" i="28"/>
  <c r="K33" i="28"/>
  <c r="J33" i="28"/>
  <c r="I33" i="28"/>
  <c r="H33" i="28"/>
  <c r="D33" i="28"/>
  <c r="L32" i="28"/>
  <c r="K32" i="28"/>
  <c r="J32" i="28"/>
  <c r="I32" i="28"/>
  <c r="H32" i="28"/>
  <c r="D32" i="28"/>
  <c r="L31" i="28"/>
  <c r="K31" i="28"/>
  <c r="J31" i="28"/>
  <c r="I31" i="28"/>
  <c r="H31" i="28"/>
  <c r="D31" i="28"/>
  <c r="L30" i="28"/>
  <c r="K30" i="28"/>
  <c r="J30" i="28"/>
  <c r="I30" i="28"/>
  <c r="H30" i="28"/>
  <c r="D30" i="28"/>
  <c r="L29" i="28"/>
  <c r="K29" i="28"/>
  <c r="J29" i="28"/>
  <c r="I29" i="28"/>
  <c r="H29" i="28"/>
  <c r="D29" i="28"/>
  <c r="L28" i="28"/>
  <c r="K28" i="28"/>
  <c r="J28" i="28"/>
  <c r="I28" i="28"/>
  <c r="H28" i="28"/>
  <c r="D28" i="28"/>
  <c r="I27" i="28"/>
  <c r="H27" i="28"/>
  <c r="D27" i="28"/>
  <c r="L26" i="28"/>
  <c r="K26" i="28"/>
  <c r="J26" i="28"/>
  <c r="I26" i="28"/>
  <c r="H26" i="28"/>
  <c r="D26" i="28"/>
  <c r="L25" i="28"/>
  <c r="K25" i="28"/>
  <c r="J25" i="28"/>
  <c r="I25" i="28"/>
  <c r="H25" i="28"/>
  <c r="D25" i="28"/>
  <c r="L24" i="28"/>
  <c r="K24" i="28"/>
  <c r="J24" i="28"/>
  <c r="I24" i="28"/>
  <c r="H24" i="28"/>
  <c r="D24" i="28"/>
  <c r="L23" i="28"/>
  <c r="K23" i="28"/>
  <c r="J23" i="28"/>
  <c r="I23" i="28"/>
  <c r="H23" i="28"/>
  <c r="D23" i="28"/>
  <c r="L22" i="28"/>
  <c r="K22" i="28"/>
  <c r="J22" i="28"/>
  <c r="I22" i="28"/>
  <c r="H22" i="28"/>
  <c r="D22" i="28"/>
  <c r="L21" i="28"/>
  <c r="K21" i="28"/>
  <c r="J21" i="28"/>
  <c r="I21" i="28"/>
  <c r="H21" i="28"/>
  <c r="D21" i="28"/>
  <c r="L20" i="28"/>
  <c r="K20" i="28"/>
  <c r="J20" i="28"/>
  <c r="I20" i="28"/>
  <c r="H20" i="28"/>
  <c r="D20" i="28"/>
  <c r="L19" i="28"/>
  <c r="K19" i="28"/>
  <c r="J19" i="28"/>
  <c r="I19" i="28"/>
  <c r="H19" i="28"/>
  <c r="D19" i="28"/>
  <c r="L18" i="28"/>
  <c r="K18" i="28"/>
  <c r="J18" i="28"/>
  <c r="I18" i="28"/>
  <c r="H18" i="28"/>
  <c r="D18" i="28"/>
  <c r="L17" i="28"/>
  <c r="K17" i="28"/>
  <c r="J17" i="28"/>
  <c r="I17" i="28"/>
  <c r="H17" i="28"/>
  <c r="D17" i="28"/>
  <c r="L16" i="28"/>
  <c r="K16" i="28"/>
  <c r="J16" i="28"/>
  <c r="I16" i="28"/>
  <c r="H16" i="28"/>
  <c r="D16" i="28"/>
  <c r="L15" i="28"/>
  <c r="K15" i="28"/>
  <c r="J15" i="28"/>
  <c r="I15" i="28"/>
  <c r="H15" i="28"/>
  <c r="D15" i="28"/>
  <c r="L14" i="28"/>
  <c r="K14" i="28"/>
  <c r="J14" i="28"/>
  <c r="I14" i="28"/>
  <c r="H14" i="28"/>
  <c r="D14" i="28"/>
  <c r="L13" i="28"/>
  <c r="K13" i="28"/>
  <c r="J13" i="28"/>
  <c r="I13" i="28"/>
  <c r="H13" i="28"/>
  <c r="D13" i="28"/>
  <c r="L12" i="28"/>
  <c r="K12" i="28"/>
  <c r="J12" i="28"/>
  <c r="I12" i="28"/>
  <c r="H12" i="28"/>
  <c r="D12" i="28"/>
  <c r="L11" i="28"/>
  <c r="K11" i="28"/>
  <c r="J11" i="28"/>
  <c r="I11" i="28"/>
  <c r="H11" i="28"/>
  <c r="D11" i="28"/>
  <c r="L10" i="28"/>
  <c r="K10" i="28"/>
  <c r="J10" i="28"/>
  <c r="I10" i="28"/>
  <c r="H10" i="28"/>
  <c r="D10" i="28"/>
  <c r="L9" i="28"/>
  <c r="K9" i="28"/>
  <c r="J9" i="28"/>
  <c r="I9" i="28"/>
  <c r="H9" i="28"/>
  <c r="D9" i="28"/>
  <c r="L8" i="28"/>
  <c r="K8" i="28"/>
  <c r="J8" i="28"/>
  <c r="I8" i="28"/>
  <c r="H8" i="28"/>
  <c r="D8" i="28"/>
  <c r="L7" i="28"/>
  <c r="K7" i="28"/>
  <c r="J7" i="28"/>
  <c r="I7" i="28"/>
  <c r="H7" i="28"/>
  <c r="D7" i="28"/>
  <c r="L6" i="28"/>
  <c r="K6" i="28"/>
  <c r="J6" i="28"/>
  <c r="I6" i="28"/>
  <c r="H6" i="28"/>
  <c r="D6" i="28"/>
  <c r="L5" i="28"/>
  <c r="K5" i="28"/>
  <c r="J5" i="28"/>
  <c r="I5" i="28"/>
  <c r="H5" i="28"/>
  <c r="D5" i="28"/>
  <c r="L125" i="22" l="1"/>
  <c r="K125" i="22"/>
  <c r="J125" i="22"/>
  <c r="I125" i="22"/>
  <c r="M124" i="22"/>
  <c r="D124" i="22"/>
  <c r="M123" i="22"/>
  <c r="D123" i="22"/>
  <c r="M122" i="22"/>
  <c r="D122" i="22"/>
  <c r="M121" i="22"/>
  <c r="D121" i="22"/>
  <c r="M120" i="22"/>
  <c r="D120" i="22"/>
  <c r="M119" i="22"/>
  <c r="D119" i="22"/>
  <c r="M118" i="22"/>
  <c r="D118" i="22"/>
  <c r="M117" i="22"/>
  <c r="D117" i="22"/>
  <c r="M116" i="22"/>
  <c r="D116" i="22"/>
  <c r="M115" i="22"/>
  <c r="D115" i="22"/>
  <c r="M114" i="22"/>
  <c r="D114" i="22"/>
  <c r="M113" i="22"/>
  <c r="D113" i="22"/>
  <c r="M112" i="22"/>
  <c r="D112" i="22"/>
  <c r="M111" i="22"/>
  <c r="D111" i="22"/>
  <c r="M110" i="22"/>
  <c r="D110" i="22"/>
  <c r="M109" i="22"/>
  <c r="D109" i="22"/>
  <c r="M108" i="22"/>
  <c r="D108" i="22"/>
  <c r="M107" i="22"/>
  <c r="D107" i="22"/>
  <c r="M106" i="22"/>
  <c r="D106" i="22"/>
  <c r="M105" i="22"/>
  <c r="D105" i="22"/>
  <c r="M104" i="22"/>
  <c r="D104" i="22"/>
  <c r="M103" i="22"/>
  <c r="D103" i="22"/>
  <c r="M102" i="22"/>
  <c r="D102" i="22"/>
  <c r="M101" i="22"/>
  <c r="D101" i="22"/>
  <c r="M100" i="22"/>
  <c r="D100" i="22"/>
  <c r="M99" i="22"/>
  <c r="D99" i="22"/>
  <c r="M98" i="22"/>
  <c r="D98" i="22"/>
  <c r="M97" i="22"/>
  <c r="D97" i="22"/>
  <c r="M96" i="22"/>
  <c r="D96" i="22"/>
  <c r="M95" i="22"/>
  <c r="D95" i="22"/>
  <c r="M94" i="22"/>
  <c r="D94" i="22"/>
  <c r="M93" i="22"/>
  <c r="D93" i="22"/>
  <c r="M92" i="22"/>
  <c r="D92" i="22"/>
  <c r="M91" i="22"/>
  <c r="D91" i="22"/>
  <c r="M90" i="22"/>
  <c r="D90" i="22"/>
  <c r="M89" i="22"/>
  <c r="D89" i="22"/>
  <c r="M88" i="22"/>
  <c r="D88" i="22"/>
  <c r="M87" i="22"/>
  <c r="D87" i="22"/>
  <c r="M86" i="22"/>
  <c r="D86" i="22"/>
  <c r="M85" i="22"/>
  <c r="D85" i="22"/>
  <c r="M84" i="22"/>
  <c r="D84" i="22"/>
  <c r="M83" i="22"/>
  <c r="D83" i="22"/>
  <c r="M82" i="22"/>
  <c r="D82" i="22"/>
  <c r="M81" i="22"/>
  <c r="D81" i="22"/>
  <c r="M80" i="22"/>
  <c r="D80" i="22"/>
  <c r="M79" i="22"/>
  <c r="D79" i="22"/>
  <c r="M78" i="22"/>
  <c r="D78" i="22"/>
  <c r="M77" i="22"/>
  <c r="D77" i="22"/>
  <c r="M76" i="22"/>
  <c r="D76" i="22"/>
  <c r="M75" i="22"/>
  <c r="D75" i="22"/>
  <c r="M74" i="22"/>
  <c r="D74" i="22"/>
  <c r="M73" i="22"/>
  <c r="D73" i="22"/>
  <c r="M72" i="22"/>
  <c r="D72" i="22"/>
  <c r="M71" i="22"/>
  <c r="D71" i="22"/>
  <c r="M70" i="22"/>
  <c r="D70" i="22"/>
  <c r="M69" i="22"/>
  <c r="D69" i="22"/>
  <c r="M68" i="22"/>
  <c r="D68" i="22"/>
  <c r="M67" i="22"/>
  <c r="D67" i="22"/>
  <c r="M66" i="22"/>
  <c r="D66" i="22"/>
  <c r="M65" i="22"/>
  <c r="D65" i="22"/>
  <c r="M64" i="22"/>
  <c r="D64" i="22"/>
  <c r="M63" i="22"/>
  <c r="D63" i="22"/>
  <c r="M62" i="22"/>
  <c r="D62" i="22"/>
  <c r="M61" i="22"/>
  <c r="D61" i="22"/>
  <c r="M60" i="22"/>
  <c r="D60" i="22"/>
  <c r="M59" i="22"/>
  <c r="D59" i="22"/>
  <c r="M58" i="22"/>
  <c r="D58" i="22"/>
  <c r="M57" i="22"/>
  <c r="D57" i="22"/>
  <c r="M56" i="22"/>
  <c r="D56" i="22"/>
  <c r="M55" i="22"/>
  <c r="D55" i="22"/>
  <c r="M54" i="22"/>
  <c r="D54" i="22"/>
  <c r="M53" i="22"/>
  <c r="D53" i="22"/>
  <c r="M52" i="22"/>
  <c r="D52" i="22"/>
  <c r="M51" i="22"/>
  <c r="D51" i="22"/>
  <c r="M50" i="22"/>
  <c r="D50" i="22"/>
  <c r="M49" i="22"/>
  <c r="D49" i="22"/>
  <c r="M48" i="22"/>
  <c r="D48" i="22"/>
  <c r="M47" i="22"/>
  <c r="D47" i="22"/>
  <c r="M46" i="22"/>
  <c r="D46" i="22"/>
  <c r="M45" i="22"/>
  <c r="D45" i="22"/>
  <c r="M44" i="22"/>
  <c r="D44" i="22"/>
  <c r="M43" i="22"/>
  <c r="D43" i="22"/>
  <c r="M42" i="22"/>
  <c r="D42" i="22"/>
  <c r="M41" i="22"/>
  <c r="D41" i="22"/>
  <c r="M40" i="22"/>
  <c r="D40" i="22"/>
  <c r="M39" i="22"/>
  <c r="D39" i="22"/>
  <c r="M38" i="22"/>
  <c r="D38" i="22"/>
  <c r="M37" i="22"/>
  <c r="D37" i="22"/>
  <c r="M36" i="22"/>
  <c r="D36" i="22"/>
  <c r="M35" i="22"/>
  <c r="D35" i="22"/>
  <c r="M34" i="22"/>
  <c r="D34" i="22"/>
  <c r="M33" i="22"/>
  <c r="D33" i="22"/>
  <c r="M32" i="22"/>
  <c r="D32" i="22"/>
  <c r="M31" i="22"/>
  <c r="D31" i="22"/>
  <c r="M30" i="22"/>
  <c r="D30" i="22"/>
  <c r="M29" i="22"/>
  <c r="D29" i="22"/>
  <c r="M28" i="22"/>
  <c r="D28" i="22"/>
  <c r="M27" i="22"/>
  <c r="D27" i="22"/>
  <c r="M26" i="22"/>
  <c r="D26" i="22"/>
  <c r="M25" i="22"/>
  <c r="D25" i="22"/>
  <c r="M24" i="22"/>
  <c r="D24" i="22"/>
  <c r="M23" i="22"/>
  <c r="D23" i="22"/>
  <c r="M22" i="22"/>
  <c r="D22" i="22"/>
  <c r="M21" i="22"/>
  <c r="D21" i="22"/>
  <c r="M20" i="22"/>
  <c r="D20" i="22"/>
  <c r="M19" i="22"/>
  <c r="D19" i="22"/>
  <c r="M18" i="22"/>
  <c r="D18" i="22"/>
  <c r="M17" i="22"/>
  <c r="D17" i="22"/>
  <c r="M16" i="22"/>
  <c r="D16" i="22"/>
  <c r="M15" i="22"/>
  <c r="D15" i="22"/>
  <c r="M14" i="22"/>
  <c r="D14" i="22"/>
  <c r="M13" i="22"/>
  <c r="D13" i="22"/>
  <c r="M12" i="22"/>
  <c r="D12" i="22"/>
  <c r="M11" i="22"/>
  <c r="D11" i="22"/>
  <c r="M10" i="22"/>
  <c r="D10" i="22"/>
  <c r="M9" i="22"/>
  <c r="D9" i="22"/>
  <c r="M8" i="22"/>
  <c r="D8" i="22"/>
  <c r="M7" i="22"/>
  <c r="D7" i="22"/>
  <c r="M6" i="22"/>
  <c r="D6" i="22"/>
  <c r="M5" i="22"/>
  <c r="D5" i="22"/>
  <c r="M125" i="22" l="1"/>
  <c r="M17" i="21"/>
  <c r="L16" i="21"/>
  <c r="K16" i="21"/>
  <c r="J16" i="21"/>
  <c r="I16" i="21"/>
  <c r="H16" i="21"/>
  <c r="D16" i="21"/>
  <c r="L15" i="21"/>
  <c r="K15" i="21"/>
  <c r="J15" i="21"/>
  <c r="I15" i="21"/>
  <c r="H15" i="21"/>
  <c r="D15" i="21"/>
  <c r="L14" i="21"/>
  <c r="K14" i="21"/>
  <c r="J14" i="21"/>
  <c r="I14" i="21"/>
  <c r="H14" i="21"/>
  <c r="D14" i="21"/>
  <c r="L13" i="21"/>
  <c r="K13" i="21"/>
  <c r="J13" i="21"/>
  <c r="I13" i="21"/>
  <c r="H13" i="21"/>
  <c r="D13" i="21"/>
  <c r="L12" i="21"/>
  <c r="K12" i="21"/>
  <c r="J12" i="21"/>
  <c r="I12" i="21"/>
  <c r="H12" i="21"/>
  <c r="D12" i="21"/>
  <c r="L11" i="21"/>
  <c r="K11" i="21"/>
  <c r="J11" i="21"/>
  <c r="I11" i="21"/>
  <c r="H11" i="21"/>
  <c r="D11" i="21"/>
  <c r="L10" i="21"/>
  <c r="K10" i="21"/>
  <c r="J10" i="21"/>
  <c r="I10" i="21"/>
  <c r="H10" i="21"/>
  <c r="D10" i="21"/>
  <c r="L9" i="21"/>
  <c r="K9" i="21"/>
  <c r="J9" i="21"/>
  <c r="I9" i="21"/>
  <c r="H9" i="21"/>
  <c r="D9" i="21"/>
  <c r="L8" i="21"/>
  <c r="K8" i="21"/>
  <c r="J8" i="21"/>
  <c r="I8" i="21"/>
  <c r="H8" i="21"/>
  <c r="D8" i="21"/>
  <c r="L7" i="21"/>
  <c r="K7" i="21"/>
  <c r="J7" i="21"/>
  <c r="I7" i="21"/>
  <c r="H7" i="21"/>
  <c r="D7" i="21"/>
  <c r="L6" i="21"/>
  <c r="K6" i="21"/>
  <c r="J6" i="21"/>
  <c r="I6" i="21"/>
  <c r="H6" i="21"/>
  <c r="D6" i="21"/>
  <c r="L5" i="21"/>
  <c r="K5" i="21"/>
  <c r="J5" i="21"/>
  <c r="I5" i="21"/>
  <c r="H5" i="21"/>
  <c r="D5" i="21"/>
  <c r="M76" i="20" l="1"/>
  <c r="M75" i="20"/>
  <c r="M74" i="20"/>
  <c r="M73" i="20"/>
  <c r="M72" i="20"/>
  <c r="M71" i="20"/>
  <c r="M70" i="20"/>
  <c r="M61" i="20"/>
  <c r="M60" i="20"/>
  <c r="M59" i="20"/>
  <c r="M58" i="20"/>
  <c r="M57" i="20"/>
  <c r="M56" i="20"/>
  <c r="M55" i="20"/>
  <c r="M54" i="20"/>
  <c r="M53" i="20"/>
  <c r="M52" i="20"/>
  <c r="M51" i="20"/>
  <c r="M50" i="20"/>
  <c r="M49" i="20"/>
  <c r="M48" i="20"/>
  <c r="M47" i="20"/>
  <c r="M46" i="20"/>
  <c r="M45" i="20"/>
  <c r="M44" i="20"/>
  <c r="M43" i="20"/>
  <c r="M42" i="20"/>
  <c r="M41" i="20"/>
  <c r="M40" i="20"/>
  <c r="M39" i="20"/>
  <c r="M38" i="20"/>
  <c r="M37" i="20"/>
  <c r="M36" i="20"/>
  <c r="M35" i="20"/>
  <c r="M34" i="20"/>
  <c r="M33" i="20"/>
  <c r="M32" i="20"/>
  <c r="M31" i="20"/>
  <c r="M30" i="20"/>
  <c r="M29" i="20"/>
  <c r="M28" i="20"/>
  <c r="M27" i="20"/>
  <c r="M26" i="20"/>
  <c r="M25" i="20"/>
  <c r="M24" i="20"/>
  <c r="M23" i="20"/>
  <c r="M22" i="20"/>
  <c r="M21" i="20"/>
  <c r="M20" i="20"/>
  <c r="M19" i="20"/>
  <c r="M18" i="20"/>
  <c r="M17" i="20"/>
  <c r="M16" i="20"/>
  <c r="M15" i="20"/>
  <c r="M14" i="20"/>
  <c r="M13" i="20"/>
  <c r="M12" i="20"/>
  <c r="M11" i="20"/>
  <c r="M10" i="20"/>
  <c r="M9" i="20"/>
  <c r="M8" i="20"/>
  <c r="M7" i="20"/>
  <c r="M6" i="20"/>
  <c r="M5" i="20"/>
  <c r="M81" i="20" s="1"/>
  <c r="M50" i="19" l="1"/>
  <c r="H50" i="19"/>
  <c r="D50" i="19"/>
  <c r="M49" i="19"/>
  <c r="H49" i="19"/>
  <c r="D49" i="19"/>
  <c r="M48" i="19"/>
  <c r="H48" i="19"/>
  <c r="D48" i="19"/>
  <c r="M47" i="19"/>
  <c r="H47" i="19"/>
  <c r="D47" i="19"/>
  <c r="M46" i="19"/>
  <c r="M45" i="19"/>
  <c r="M44" i="19"/>
  <c r="M43" i="19"/>
  <c r="D43" i="19"/>
  <c r="M42" i="19"/>
  <c r="D42" i="19"/>
  <c r="M41" i="19"/>
  <c r="M40" i="19"/>
  <c r="H40" i="19"/>
  <c r="D40" i="19"/>
  <c r="M39" i="19"/>
  <c r="H39" i="19"/>
  <c r="D39" i="19"/>
  <c r="M38" i="19"/>
  <c r="H38" i="19"/>
  <c r="D38" i="19"/>
  <c r="M37" i="19"/>
  <c r="H37" i="19"/>
  <c r="D37" i="19"/>
  <c r="M36" i="19"/>
  <c r="H36" i="19"/>
  <c r="D36" i="19"/>
  <c r="M35" i="19"/>
  <c r="H35" i="19"/>
  <c r="D35" i="19"/>
  <c r="M34" i="19"/>
  <c r="H34" i="19"/>
  <c r="D34" i="19"/>
  <c r="M33" i="19"/>
  <c r="H33" i="19"/>
  <c r="D33" i="19"/>
  <c r="M32" i="19"/>
  <c r="H32" i="19"/>
  <c r="D32" i="19"/>
  <c r="H31" i="19"/>
  <c r="D31" i="19"/>
  <c r="M30" i="19"/>
  <c r="H30" i="19"/>
  <c r="D30" i="19"/>
  <c r="M29" i="19"/>
  <c r="M28" i="19"/>
  <c r="M27" i="19"/>
  <c r="M26" i="19"/>
  <c r="H26" i="19"/>
  <c r="D26" i="19"/>
  <c r="M25" i="19"/>
  <c r="H25" i="19"/>
  <c r="D25" i="19"/>
  <c r="M24" i="19"/>
  <c r="H24" i="19"/>
  <c r="D24" i="19"/>
  <c r="M23" i="19"/>
  <c r="H23" i="19"/>
  <c r="D23" i="19"/>
  <c r="M22" i="19"/>
  <c r="H22" i="19"/>
  <c r="D22" i="19"/>
  <c r="M21" i="19"/>
  <c r="H21" i="19"/>
  <c r="D21" i="19"/>
  <c r="M20" i="19"/>
  <c r="H20" i="19"/>
  <c r="D20" i="19"/>
  <c r="M19" i="19"/>
  <c r="H19" i="19"/>
  <c r="D19" i="19"/>
  <c r="M18" i="19"/>
  <c r="H18" i="19"/>
  <c r="D18" i="19"/>
  <c r="M17" i="19"/>
  <c r="H17" i="19"/>
  <c r="D17" i="19"/>
  <c r="M16" i="19"/>
  <c r="H16" i="19"/>
  <c r="D16" i="19"/>
  <c r="H15" i="19"/>
  <c r="D15" i="19"/>
  <c r="M14" i="19"/>
  <c r="H14" i="19"/>
  <c r="D14" i="19"/>
  <c r="M13" i="19"/>
  <c r="H13" i="19"/>
  <c r="D13" i="19"/>
  <c r="M12" i="19"/>
  <c r="H12" i="19"/>
  <c r="D12" i="19"/>
  <c r="M11" i="19"/>
  <c r="H11" i="19"/>
  <c r="D11" i="19"/>
  <c r="M10" i="19"/>
  <c r="H10" i="19"/>
  <c r="D10" i="19"/>
  <c r="M9" i="19"/>
  <c r="H9" i="19"/>
  <c r="D9" i="19"/>
  <c r="M8" i="19"/>
  <c r="D8" i="19"/>
  <c r="M7" i="19"/>
  <c r="D7" i="19"/>
  <c r="M6" i="19"/>
  <c r="H6" i="19"/>
  <c r="D6" i="19"/>
  <c r="M5" i="19"/>
  <c r="H5" i="19"/>
  <c r="D5" i="19"/>
  <c r="M51" i="19" l="1"/>
  <c r="H152" i="17" l="1"/>
  <c r="D152" i="17"/>
  <c r="H151" i="17"/>
  <c r="D151" i="17"/>
  <c r="H150" i="17"/>
  <c r="D150" i="17"/>
  <c r="H149" i="17"/>
  <c r="D149" i="17"/>
  <c r="H148" i="17"/>
  <c r="D148" i="17"/>
  <c r="H147" i="17"/>
  <c r="D147" i="17"/>
  <c r="H146" i="17"/>
  <c r="D146" i="17"/>
  <c r="H145" i="17"/>
  <c r="D145" i="17"/>
  <c r="H144" i="17"/>
  <c r="D144" i="17"/>
  <c r="H143" i="17"/>
  <c r="D143" i="17"/>
  <c r="H142" i="17"/>
  <c r="D142" i="17"/>
  <c r="H141" i="17"/>
  <c r="D141" i="17"/>
  <c r="H140" i="17"/>
  <c r="D140" i="17"/>
  <c r="H139" i="17"/>
  <c r="D139" i="17"/>
  <c r="H138" i="17"/>
  <c r="D138" i="17"/>
  <c r="H137" i="17"/>
  <c r="D137" i="17"/>
  <c r="H136" i="17"/>
  <c r="D136" i="17"/>
  <c r="H135" i="17"/>
  <c r="D135" i="17"/>
  <c r="H134" i="17"/>
  <c r="D134" i="17"/>
  <c r="H133" i="17"/>
  <c r="D133" i="17"/>
  <c r="H132" i="17"/>
  <c r="D132" i="17"/>
  <c r="H131" i="17"/>
  <c r="D131" i="17"/>
  <c r="H130" i="17"/>
  <c r="D130" i="17"/>
  <c r="H129" i="17"/>
  <c r="D129" i="17"/>
  <c r="H128" i="17"/>
  <c r="D128" i="17"/>
  <c r="H127" i="17"/>
  <c r="D127" i="17"/>
  <c r="H126" i="17"/>
  <c r="D126" i="17"/>
  <c r="H125" i="17"/>
  <c r="D125" i="17"/>
  <c r="H124" i="17"/>
  <c r="D124" i="17"/>
  <c r="H123" i="17"/>
  <c r="D123" i="17"/>
  <c r="H122" i="17"/>
  <c r="D122" i="17"/>
  <c r="H121" i="17"/>
  <c r="D121" i="17"/>
  <c r="H120" i="17"/>
  <c r="D120" i="17"/>
  <c r="H119" i="17"/>
  <c r="D119" i="17"/>
  <c r="H118" i="17"/>
  <c r="D118" i="17"/>
  <c r="H117" i="17"/>
  <c r="D117" i="17"/>
  <c r="H116" i="17"/>
  <c r="D116" i="17"/>
  <c r="H115" i="17"/>
  <c r="D115" i="17"/>
  <c r="H114" i="17"/>
  <c r="D114" i="17"/>
  <c r="H113" i="17"/>
  <c r="D113" i="17"/>
  <c r="H112" i="17"/>
  <c r="D112" i="17"/>
  <c r="H111" i="17"/>
  <c r="D111" i="17"/>
  <c r="H110" i="17"/>
  <c r="D110" i="17"/>
  <c r="H109" i="17"/>
  <c r="D109" i="17"/>
  <c r="H108" i="17"/>
  <c r="D108" i="17"/>
  <c r="H107" i="17"/>
  <c r="D107" i="17"/>
  <c r="H106" i="17"/>
  <c r="D106" i="17"/>
  <c r="H105" i="17"/>
  <c r="D105" i="17"/>
  <c r="H104" i="17"/>
  <c r="D104" i="17"/>
  <c r="H103" i="17"/>
  <c r="D103" i="17"/>
  <c r="H102" i="17"/>
  <c r="D102" i="17"/>
  <c r="H101" i="17"/>
  <c r="D101" i="17"/>
  <c r="H100" i="17"/>
  <c r="D100" i="17"/>
  <c r="H99" i="17"/>
  <c r="D99" i="17"/>
  <c r="H98" i="17"/>
  <c r="D98" i="17"/>
  <c r="H97" i="17"/>
  <c r="D97" i="17"/>
  <c r="H96" i="17"/>
  <c r="D96" i="17"/>
  <c r="H95" i="17"/>
  <c r="D95" i="17"/>
  <c r="H94" i="17"/>
  <c r="D94" i="17"/>
  <c r="H93" i="17"/>
  <c r="D93" i="17"/>
  <c r="H92" i="17"/>
  <c r="D92" i="17"/>
  <c r="H91" i="17"/>
  <c r="D91" i="17"/>
  <c r="H90" i="17"/>
  <c r="D90" i="17"/>
  <c r="H89" i="17"/>
  <c r="D89" i="17"/>
  <c r="H88" i="17"/>
  <c r="D88" i="17"/>
  <c r="H87" i="17"/>
  <c r="D87" i="17"/>
  <c r="H86" i="17"/>
  <c r="D86" i="17"/>
  <c r="H85" i="17"/>
  <c r="D85" i="17"/>
  <c r="H84" i="17"/>
  <c r="D84" i="17"/>
  <c r="H83" i="17"/>
  <c r="D83" i="17"/>
  <c r="H82" i="17"/>
  <c r="D82" i="17"/>
  <c r="H81" i="17"/>
  <c r="D81" i="17"/>
  <c r="H80" i="17"/>
  <c r="D80" i="17"/>
  <c r="H79" i="17"/>
  <c r="D79" i="17"/>
  <c r="H78" i="17"/>
  <c r="D78" i="17"/>
  <c r="H77" i="17"/>
  <c r="D77" i="17"/>
  <c r="H76" i="17"/>
  <c r="D76" i="17"/>
  <c r="H75" i="17"/>
  <c r="D75" i="17"/>
  <c r="H74" i="17"/>
  <c r="D74" i="17"/>
  <c r="H73" i="17"/>
  <c r="D73" i="17"/>
  <c r="H72" i="17"/>
  <c r="D72" i="17"/>
  <c r="H71" i="17"/>
  <c r="D71" i="17"/>
  <c r="H70" i="17"/>
  <c r="D70" i="17"/>
  <c r="H69" i="17"/>
  <c r="D69" i="17"/>
  <c r="H68" i="17"/>
  <c r="D68" i="17"/>
  <c r="H67" i="17"/>
  <c r="D67" i="17"/>
  <c r="H66" i="17"/>
  <c r="D66" i="17"/>
  <c r="H65" i="17"/>
  <c r="D65" i="17"/>
  <c r="H64" i="17"/>
  <c r="D64" i="17"/>
  <c r="H63" i="17"/>
  <c r="D63" i="17"/>
  <c r="H62" i="17"/>
  <c r="D62" i="17"/>
  <c r="H61" i="17"/>
  <c r="D61" i="17"/>
  <c r="H60" i="17"/>
  <c r="D60" i="17"/>
  <c r="H59" i="17"/>
  <c r="D59" i="17"/>
  <c r="H58" i="17"/>
  <c r="D58" i="17"/>
  <c r="H57" i="17"/>
  <c r="D57" i="17"/>
  <c r="H56" i="17"/>
  <c r="D56" i="17"/>
  <c r="H55" i="17"/>
  <c r="D55" i="17"/>
  <c r="H54" i="17"/>
  <c r="D54" i="17"/>
  <c r="H50" i="17"/>
  <c r="D50" i="17"/>
  <c r="L49" i="17"/>
  <c r="K49" i="17"/>
  <c r="J49" i="17"/>
  <c r="I49" i="17"/>
  <c r="M49" i="17" s="1"/>
  <c r="H49" i="17"/>
  <c r="D49" i="17"/>
  <c r="M48" i="17"/>
  <c r="D48" i="17"/>
  <c r="M47" i="17"/>
  <c r="D47" i="17"/>
  <c r="M46" i="17"/>
  <c r="D46" i="17"/>
  <c r="M45" i="17"/>
  <c r="D45" i="17"/>
  <c r="M44" i="17"/>
  <c r="D44" i="17"/>
  <c r="M43" i="17"/>
  <c r="D43" i="17"/>
  <c r="M42" i="17"/>
  <c r="D42" i="17"/>
  <c r="M41" i="17"/>
  <c r="D41" i="17"/>
  <c r="M40" i="17"/>
  <c r="D40" i="17"/>
  <c r="M39" i="17"/>
  <c r="D39" i="17"/>
  <c r="M38" i="17"/>
  <c r="D38" i="17"/>
  <c r="M37" i="17"/>
  <c r="D37" i="17"/>
  <c r="M36" i="17"/>
  <c r="D36" i="17"/>
  <c r="M35" i="17"/>
  <c r="D35" i="17"/>
  <c r="M34" i="17"/>
  <c r="D34" i="17"/>
  <c r="M33" i="17"/>
  <c r="D33" i="17"/>
  <c r="M32" i="17"/>
  <c r="D32" i="17"/>
  <c r="M31" i="17"/>
  <c r="D31" i="17"/>
  <c r="M30" i="17"/>
  <c r="D30" i="17"/>
  <c r="M29" i="17"/>
  <c r="D29" i="17"/>
  <c r="M28" i="17"/>
  <c r="D28" i="17"/>
  <c r="M27" i="17"/>
  <c r="D27" i="17"/>
  <c r="M26" i="17"/>
  <c r="D26" i="17"/>
  <c r="M25" i="17"/>
  <c r="D25" i="17"/>
  <c r="M24" i="17"/>
  <c r="D24" i="17"/>
  <c r="M23" i="17"/>
  <c r="D23" i="17"/>
  <c r="M22" i="17"/>
  <c r="D22" i="17"/>
  <c r="M21" i="17"/>
  <c r="D21" i="17"/>
  <c r="M20" i="17"/>
  <c r="D20" i="17"/>
  <c r="M19" i="17"/>
  <c r="D19" i="17"/>
  <c r="M18" i="17"/>
  <c r="D18" i="17"/>
  <c r="M17" i="17"/>
  <c r="D17" i="17"/>
  <c r="M16" i="17"/>
  <c r="D16" i="17"/>
  <c r="M15" i="17"/>
  <c r="D15" i="17"/>
  <c r="M14" i="17"/>
  <c r="D14" i="17"/>
  <c r="M13" i="17"/>
  <c r="D13" i="17"/>
  <c r="M12" i="17"/>
  <c r="D12" i="17"/>
  <c r="M11" i="17"/>
  <c r="D11" i="17"/>
  <c r="M10" i="17"/>
  <c r="D10" i="17"/>
  <c r="M9" i="17"/>
  <c r="D9" i="17"/>
  <c r="M8" i="17"/>
  <c r="D8" i="17"/>
  <c r="M7" i="17"/>
  <c r="D7" i="17"/>
  <c r="M6" i="17"/>
  <c r="D6" i="17"/>
  <c r="M5" i="17"/>
  <c r="D5" i="17"/>
  <c r="M120" i="15" l="1"/>
  <c r="M119" i="15"/>
  <c r="M80" i="15"/>
  <c r="M70" i="15"/>
  <c r="M69" i="15"/>
  <c r="M68" i="15"/>
  <c r="M67" i="15"/>
  <c r="M66" i="15"/>
  <c r="M29" i="15"/>
  <c r="M28" i="15"/>
  <c r="M27" i="15"/>
  <c r="M26" i="15"/>
  <c r="M25" i="15"/>
  <c r="M24" i="15"/>
  <c r="M23" i="15"/>
  <c r="M22" i="15"/>
  <c r="M21" i="15"/>
  <c r="M20" i="15"/>
  <c r="M19" i="15"/>
  <c r="M18" i="15"/>
  <c r="M17" i="15"/>
  <c r="M16" i="15"/>
  <c r="M15" i="15"/>
  <c r="M14" i="15"/>
  <c r="M13" i="15"/>
  <c r="M12" i="15"/>
  <c r="M11" i="15"/>
  <c r="M10" i="15"/>
  <c r="M9" i="15"/>
  <c r="M8" i="15"/>
  <c r="M7" i="15"/>
  <c r="M6" i="15"/>
  <c r="M5" i="15"/>
  <c r="M121" i="15" s="1"/>
  <c r="M45" i="9" l="1"/>
  <c r="H45" i="9"/>
  <c r="D45" i="9"/>
  <c r="M44" i="9"/>
  <c r="H44" i="9"/>
  <c r="D44" i="9"/>
  <c r="M43" i="9"/>
  <c r="H43" i="9"/>
  <c r="D43" i="9"/>
  <c r="M42" i="9"/>
  <c r="H42" i="9"/>
  <c r="D42" i="9"/>
  <c r="M41" i="9"/>
  <c r="H41" i="9"/>
  <c r="D41" i="9"/>
  <c r="M40" i="9"/>
  <c r="H40" i="9"/>
  <c r="D40" i="9"/>
  <c r="M39" i="9"/>
  <c r="H39" i="9"/>
  <c r="D39" i="9"/>
  <c r="M38" i="9"/>
  <c r="H38" i="9"/>
  <c r="D38" i="9"/>
  <c r="M37" i="9"/>
  <c r="H37" i="9"/>
  <c r="D37" i="9"/>
  <c r="M36" i="9"/>
  <c r="H36" i="9"/>
  <c r="D36" i="9"/>
  <c r="M35" i="9"/>
  <c r="H35" i="9"/>
  <c r="D35" i="9"/>
  <c r="M34" i="9"/>
  <c r="H34" i="9"/>
  <c r="D34" i="9"/>
  <c r="M33" i="9"/>
  <c r="H33" i="9"/>
  <c r="D33" i="9"/>
  <c r="M32" i="9"/>
  <c r="H32" i="9"/>
  <c r="D32" i="9"/>
  <c r="M31" i="9"/>
  <c r="H31" i="9"/>
  <c r="D31" i="9"/>
  <c r="M30" i="9"/>
  <c r="H30" i="9"/>
  <c r="D30" i="9"/>
  <c r="M29" i="9"/>
  <c r="H29" i="9"/>
  <c r="D29" i="9"/>
  <c r="M28" i="9"/>
  <c r="H28" i="9"/>
  <c r="D28" i="9"/>
  <c r="M27" i="9"/>
  <c r="H27" i="9"/>
  <c r="D27" i="9"/>
  <c r="M26" i="9"/>
  <c r="H26" i="9"/>
  <c r="D26" i="9"/>
  <c r="M25" i="9"/>
  <c r="H25" i="9"/>
  <c r="D25" i="9"/>
  <c r="M24" i="9"/>
  <c r="H24" i="9"/>
  <c r="D24" i="9"/>
  <c r="M23" i="9"/>
  <c r="H23" i="9"/>
  <c r="D23" i="9"/>
  <c r="M22" i="9"/>
  <c r="H22" i="9"/>
  <c r="D22" i="9"/>
  <c r="M21" i="9"/>
  <c r="H21" i="9"/>
  <c r="D21" i="9"/>
  <c r="M20" i="9"/>
  <c r="H20" i="9"/>
  <c r="D20" i="9"/>
  <c r="M19" i="9"/>
  <c r="H19" i="9"/>
  <c r="D19" i="9"/>
  <c r="M18" i="9"/>
  <c r="H18" i="9"/>
  <c r="D18" i="9"/>
  <c r="M17" i="9"/>
  <c r="H17" i="9"/>
  <c r="D17" i="9"/>
  <c r="M16" i="9"/>
  <c r="H16" i="9"/>
  <c r="D16" i="9"/>
  <c r="M15" i="9"/>
  <c r="H15" i="9"/>
  <c r="D15" i="9"/>
  <c r="M14" i="9"/>
  <c r="H14" i="9"/>
  <c r="D14" i="9"/>
  <c r="M13" i="9"/>
  <c r="H13" i="9"/>
  <c r="D13" i="9"/>
  <c r="M12" i="9"/>
  <c r="H12" i="9"/>
  <c r="D12" i="9"/>
  <c r="M11" i="9"/>
  <c r="H11" i="9"/>
  <c r="D11" i="9"/>
  <c r="M10" i="9"/>
  <c r="H10" i="9"/>
  <c r="D10" i="9"/>
  <c r="M9" i="9"/>
  <c r="H9" i="9"/>
  <c r="D9" i="9"/>
  <c r="M8" i="9"/>
  <c r="H8" i="9"/>
  <c r="D8" i="9"/>
  <c r="M7" i="9"/>
  <c r="H7" i="9"/>
  <c r="D7" i="9"/>
  <c r="M6" i="9"/>
  <c r="H6" i="9"/>
  <c r="D6" i="9"/>
  <c r="M5" i="9"/>
  <c r="H5" i="9"/>
  <c r="D5" i="9"/>
  <c r="M46" i="9" l="1"/>
  <c r="H169" i="8"/>
  <c r="D169" i="8"/>
  <c r="H168" i="8"/>
  <c r="D168" i="8"/>
  <c r="H167" i="8"/>
  <c r="D167" i="8"/>
  <c r="H166" i="8"/>
  <c r="D166" i="8"/>
  <c r="H165" i="8"/>
  <c r="D165" i="8"/>
  <c r="H164" i="8"/>
  <c r="D164" i="8"/>
  <c r="H163" i="8"/>
  <c r="D163" i="8"/>
  <c r="H162" i="8"/>
  <c r="D162" i="8"/>
  <c r="H161" i="8"/>
  <c r="D161" i="8"/>
  <c r="H160" i="8"/>
  <c r="D160" i="8"/>
  <c r="H159" i="8"/>
  <c r="D159" i="8"/>
  <c r="H158" i="8"/>
  <c r="D158" i="8"/>
  <c r="H157" i="8"/>
  <c r="D157" i="8"/>
  <c r="H156" i="8"/>
  <c r="D156" i="8"/>
  <c r="H155" i="8"/>
  <c r="D155" i="8"/>
  <c r="H154" i="8"/>
  <c r="D154" i="8"/>
  <c r="H153" i="8"/>
  <c r="D153" i="8"/>
  <c r="H152" i="8"/>
  <c r="D152" i="8"/>
  <c r="H151" i="8"/>
  <c r="D151" i="8"/>
  <c r="H150" i="8"/>
  <c r="D150" i="8"/>
  <c r="H149" i="8"/>
  <c r="D149" i="8"/>
  <c r="H148" i="8"/>
  <c r="D148" i="8"/>
  <c r="H147" i="8"/>
  <c r="D147" i="8"/>
  <c r="H146" i="8"/>
  <c r="D146" i="8"/>
  <c r="H145" i="8"/>
  <c r="D145" i="8"/>
  <c r="H144" i="8"/>
  <c r="D144" i="8"/>
  <c r="H143" i="8"/>
  <c r="D143" i="8"/>
  <c r="H142" i="8"/>
  <c r="D142" i="8"/>
  <c r="H141" i="8"/>
  <c r="D141" i="8"/>
  <c r="H140" i="8"/>
  <c r="D140" i="8"/>
  <c r="H139" i="8"/>
  <c r="D139" i="8"/>
  <c r="H138" i="8"/>
  <c r="D138" i="8"/>
  <c r="H137" i="8"/>
  <c r="D137" i="8"/>
  <c r="H136" i="8"/>
  <c r="D136" i="8"/>
  <c r="H135" i="8"/>
  <c r="D135" i="8"/>
  <c r="H134" i="8"/>
  <c r="D134" i="8"/>
  <c r="H133" i="8"/>
  <c r="D133" i="8"/>
  <c r="H132" i="8"/>
  <c r="D132" i="8"/>
  <c r="H131" i="8"/>
  <c r="D131" i="8"/>
  <c r="H130" i="8"/>
  <c r="D130" i="8"/>
  <c r="H129" i="8"/>
  <c r="D129" i="8"/>
  <c r="H128" i="8"/>
  <c r="D128" i="8"/>
  <c r="H127" i="8"/>
  <c r="D127" i="8"/>
  <c r="H126" i="8"/>
  <c r="D126" i="8"/>
  <c r="H125" i="8"/>
  <c r="D125" i="8"/>
  <c r="H124" i="8"/>
  <c r="D124" i="8"/>
  <c r="H123" i="8"/>
  <c r="D123" i="8"/>
  <c r="H122" i="8"/>
  <c r="D122" i="8"/>
  <c r="H121" i="8"/>
  <c r="D121" i="8"/>
  <c r="H120" i="8"/>
  <c r="D120" i="8"/>
  <c r="H119" i="8"/>
  <c r="D119" i="8"/>
  <c r="H118" i="8"/>
  <c r="D118" i="8"/>
  <c r="H117" i="8"/>
  <c r="D117" i="8"/>
  <c r="H116" i="8"/>
  <c r="D116" i="8"/>
  <c r="H115" i="8"/>
  <c r="D115" i="8"/>
  <c r="H114" i="8"/>
  <c r="D114" i="8"/>
  <c r="H113" i="8"/>
  <c r="D113" i="8"/>
  <c r="H112" i="8"/>
  <c r="D112" i="8"/>
  <c r="H111" i="8"/>
  <c r="D111" i="8"/>
  <c r="H110" i="8"/>
  <c r="D110" i="8"/>
  <c r="H109" i="8"/>
  <c r="D109" i="8"/>
  <c r="H108" i="8"/>
  <c r="D108" i="8"/>
  <c r="H107" i="8"/>
  <c r="D107" i="8"/>
  <c r="H106" i="8"/>
  <c r="D106" i="8"/>
  <c r="H105" i="8"/>
  <c r="D105" i="8"/>
  <c r="H104" i="8"/>
  <c r="D104" i="8"/>
  <c r="H103" i="8"/>
  <c r="D103" i="8"/>
  <c r="H102" i="8"/>
  <c r="D102" i="8"/>
  <c r="H101" i="8"/>
  <c r="D101" i="8"/>
  <c r="H100" i="8"/>
  <c r="D100" i="8"/>
  <c r="H99" i="8"/>
  <c r="D99" i="8"/>
  <c r="H98" i="8"/>
  <c r="D98" i="8"/>
  <c r="H97" i="8"/>
  <c r="D97" i="8"/>
  <c r="H96" i="8"/>
  <c r="D96" i="8"/>
  <c r="H95" i="8"/>
  <c r="D95" i="8"/>
  <c r="H94" i="8"/>
  <c r="D94" i="8"/>
  <c r="H93" i="8"/>
  <c r="D93" i="8"/>
  <c r="H92" i="8"/>
  <c r="D92" i="8"/>
  <c r="H91" i="8"/>
  <c r="D91" i="8"/>
  <c r="H90" i="8"/>
  <c r="D90" i="8"/>
  <c r="H89" i="8"/>
  <c r="D89" i="8"/>
  <c r="H88" i="8"/>
  <c r="D88" i="8"/>
  <c r="H87" i="8"/>
  <c r="D87" i="8"/>
  <c r="H86" i="8"/>
  <c r="D86" i="8"/>
  <c r="H85" i="8"/>
  <c r="D85" i="8"/>
  <c r="H84" i="8"/>
  <c r="D84" i="8"/>
  <c r="H83" i="8"/>
  <c r="D83" i="8"/>
  <c r="H82" i="8"/>
  <c r="D82" i="8"/>
  <c r="H81" i="8"/>
  <c r="D81" i="8"/>
  <c r="H80" i="8"/>
  <c r="D80" i="8"/>
  <c r="H79" i="8"/>
  <c r="D79" i="8"/>
  <c r="H78" i="8"/>
  <c r="D78" i="8"/>
  <c r="H77" i="8"/>
  <c r="D77" i="8"/>
  <c r="H76" i="8"/>
  <c r="D76" i="8"/>
  <c r="H75" i="8"/>
  <c r="D75" i="8"/>
  <c r="H74" i="8"/>
  <c r="D74" i="8"/>
  <c r="H73" i="8"/>
  <c r="D73" i="8"/>
  <c r="H72" i="8"/>
  <c r="D72" i="8"/>
  <c r="H71" i="8"/>
  <c r="D71" i="8"/>
  <c r="H70" i="8"/>
  <c r="D70" i="8"/>
  <c r="H69" i="8"/>
  <c r="D69" i="8"/>
  <c r="H68" i="8"/>
  <c r="D68" i="8"/>
  <c r="H67" i="8"/>
  <c r="D67" i="8"/>
  <c r="H66" i="8"/>
  <c r="D66" i="8"/>
  <c r="H65" i="8"/>
  <c r="D65" i="8"/>
  <c r="H64" i="8"/>
  <c r="D64" i="8"/>
  <c r="H63" i="8"/>
  <c r="D63" i="8"/>
  <c r="H62" i="8"/>
  <c r="D62" i="8"/>
  <c r="H61" i="8"/>
  <c r="D61" i="8"/>
  <c r="H60" i="8"/>
  <c r="D60" i="8"/>
  <c r="H59" i="8"/>
  <c r="D59" i="8"/>
  <c r="H58" i="8"/>
  <c r="D58" i="8"/>
  <c r="H57" i="8"/>
  <c r="D57" i="8"/>
  <c r="H56" i="8"/>
  <c r="D56" i="8"/>
  <c r="H55" i="8"/>
  <c r="D55" i="8"/>
  <c r="H54" i="8"/>
  <c r="D54" i="8"/>
  <c r="H53" i="8"/>
  <c r="D53" i="8"/>
  <c r="H52" i="8"/>
  <c r="D52" i="8"/>
  <c r="H51" i="8"/>
  <c r="D51" i="8"/>
  <c r="H50" i="8"/>
  <c r="D50" i="8"/>
  <c r="H49" i="8"/>
  <c r="D49" i="8"/>
  <c r="H48" i="8"/>
  <c r="D48" i="8"/>
  <c r="H47" i="8"/>
  <c r="D47" i="8"/>
  <c r="H46" i="8"/>
  <c r="D46" i="8"/>
  <c r="H45" i="8"/>
  <c r="D45" i="8"/>
  <c r="H44" i="8"/>
  <c r="D44" i="8"/>
  <c r="H43" i="8"/>
  <c r="D43" i="8"/>
  <c r="H42" i="8"/>
  <c r="D42" i="8"/>
  <c r="H41" i="8"/>
  <c r="D41" i="8"/>
  <c r="H40" i="8"/>
  <c r="D40" i="8"/>
  <c r="H39" i="8"/>
  <c r="D39" i="8"/>
  <c r="H38" i="8"/>
  <c r="D38" i="8"/>
  <c r="H37" i="8"/>
  <c r="D37" i="8"/>
  <c r="H36" i="8"/>
  <c r="D36" i="8"/>
  <c r="I35" i="8"/>
  <c r="M35" i="8" s="1"/>
  <c r="D35" i="8"/>
  <c r="M34" i="8"/>
  <c r="I34" i="8"/>
  <c r="D34" i="8"/>
  <c r="I33" i="8"/>
  <c r="M33" i="8" s="1"/>
  <c r="D33" i="8"/>
  <c r="L32" i="8"/>
  <c r="K32" i="8"/>
  <c r="J32" i="8"/>
  <c r="I32" i="8"/>
  <c r="M32" i="8" s="1"/>
  <c r="D32" i="8"/>
  <c r="L31" i="8"/>
  <c r="M31" i="8" s="1"/>
  <c r="K31" i="8"/>
  <c r="J31" i="8"/>
  <c r="I31" i="8"/>
  <c r="D31" i="8"/>
  <c r="M30" i="8"/>
  <c r="I30" i="8"/>
  <c r="D30" i="8"/>
  <c r="I29" i="8"/>
  <c r="M29" i="8" s="1"/>
  <c r="D29" i="8"/>
  <c r="L28" i="8"/>
  <c r="K28" i="8"/>
  <c r="M28" i="8" s="1"/>
  <c r="J28" i="8"/>
  <c r="I28" i="8"/>
  <c r="D28" i="8"/>
  <c r="L27" i="8"/>
  <c r="M27" i="8" s="1"/>
  <c r="K27" i="8"/>
  <c r="J27" i="8"/>
  <c r="I27" i="8"/>
  <c r="D27" i="8"/>
  <c r="M26" i="8"/>
  <c r="D26" i="8"/>
  <c r="L25" i="8"/>
  <c r="M25" i="8" s="1"/>
  <c r="K25" i="8"/>
  <c r="J25" i="8"/>
  <c r="I25" i="8"/>
  <c r="D25" i="8"/>
  <c r="M24" i="8"/>
  <c r="L24" i="8"/>
  <c r="K24" i="8"/>
  <c r="J24" i="8"/>
  <c r="I24" i="8"/>
  <c r="D24" i="8"/>
  <c r="L23" i="8"/>
  <c r="K23" i="8"/>
  <c r="J23" i="8"/>
  <c r="M23" i="8" s="1"/>
  <c r="I23" i="8"/>
  <c r="D23" i="8"/>
  <c r="M22" i="8"/>
  <c r="D22" i="8"/>
  <c r="L21" i="8"/>
  <c r="K21" i="8"/>
  <c r="J21" i="8"/>
  <c r="I21" i="8"/>
  <c r="M21" i="8" s="1"/>
  <c r="D21" i="8"/>
  <c r="L20" i="8"/>
  <c r="K20" i="8"/>
  <c r="M20" i="8" s="1"/>
  <c r="J20" i="8"/>
  <c r="I20" i="8"/>
  <c r="D20" i="8"/>
  <c r="L19" i="8"/>
  <c r="M19" i="8" s="1"/>
  <c r="K19" i="8"/>
  <c r="J19" i="8"/>
  <c r="I19" i="8"/>
  <c r="D19" i="8"/>
  <c r="L18" i="8"/>
  <c r="K18" i="8"/>
  <c r="J18" i="8"/>
  <c r="I18" i="8"/>
  <c r="M18" i="8" s="1"/>
  <c r="D18" i="8"/>
  <c r="I17" i="8"/>
  <c r="M17" i="8" s="1"/>
  <c r="D17" i="8"/>
  <c r="L16" i="8"/>
  <c r="K16" i="8"/>
  <c r="J16" i="8"/>
  <c r="I16" i="8"/>
  <c r="M16" i="8" s="1"/>
  <c r="D16" i="8"/>
  <c r="M15" i="8"/>
  <c r="D15" i="8"/>
  <c r="L14" i="8"/>
  <c r="K14" i="8"/>
  <c r="J14" i="8"/>
  <c r="I14" i="8"/>
  <c r="M14" i="8" s="1"/>
  <c r="D14" i="8"/>
  <c r="L13" i="8"/>
  <c r="K13" i="8"/>
  <c r="J13" i="8"/>
  <c r="I13" i="8"/>
  <c r="M13" i="8" s="1"/>
  <c r="D13" i="8"/>
  <c r="L12" i="8"/>
  <c r="K12" i="8"/>
  <c r="M12" i="8" s="1"/>
  <c r="J12" i="8"/>
  <c r="I12" i="8"/>
  <c r="D12" i="8"/>
  <c r="M11" i="8"/>
  <c r="I11" i="8"/>
  <c r="D11" i="8"/>
  <c r="L10" i="8"/>
  <c r="K10" i="8"/>
  <c r="J10" i="8"/>
  <c r="I10" i="8"/>
  <c r="M10" i="8" s="1"/>
  <c r="D10" i="8"/>
  <c r="L9" i="8"/>
  <c r="K9" i="8"/>
  <c r="J9" i="8"/>
  <c r="I9" i="8"/>
  <c r="M9" i="8" s="1"/>
  <c r="D9" i="8"/>
  <c r="L8" i="8"/>
  <c r="K8" i="8"/>
  <c r="J8" i="8"/>
  <c r="I8" i="8"/>
  <c r="M8" i="8" s="1"/>
  <c r="D8" i="8"/>
  <c r="L7" i="8"/>
  <c r="K7" i="8"/>
  <c r="M7" i="8" s="1"/>
  <c r="J7" i="8"/>
  <c r="I7" i="8"/>
  <c r="D7" i="8"/>
  <c r="M6" i="8"/>
  <c r="L6" i="8"/>
  <c r="K6" i="8"/>
  <c r="J6" i="8"/>
  <c r="I6" i="8"/>
  <c r="D6" i="8"/>
  <c r="L5" i="8"/>
  <c r="K5" i="8"/>
  <c r="J5" i="8"/>
  <c r="I5" i="8"/>
  <c r="M5" i="8" s="1"/>
  <c r="D5" i="8"/>
  <c r="M36" i="8" l="1"/>
  <c r="M170" i="8" s="1"/>
  <c r="M142" i="4" l="1"/>
  <c r="H142" i="4"/>
  <c r="D142" i="4"/>
  <c r="M141" i="4"/>
  <c r="H141" i="4"/>
  <c r="D141" i="4"/>
  <c r="M140" i="4"/>
  <c r="H140" i="4"/>
  <c r="D140" i="4"/>
  <c r="M139" i="4"/>
  <c r="H139" i="4"/>
  <c r="D139" i="4"/>
  <c r="M138" i="4"/>
  <c r="H138" i="4"/>
  <c r="D138" i="4"/>
  <c r="M137" i="4"/>
  <c r="H137" i="4"/>
  <c r="D137" i="4"/>
  <c r="M136" i="4"/>
  <c r="H136" i="4"/>
  <c r="D136" i="4"/>
  <c r="M135" i="4"/>
  <c r="H135" i="4"/>
  <c r="D135" i="4"/>
  <c r="M134" i="4"/>
  <c r="H134" i="4"/>
  <c r="D134" i="4"/>
  <c r="M133" i="4"/>
  <c r="H133" i="4"/>
  <c r="D133" i="4"/>
  <c r="M132" i="4"/>
  <c r="H132" i="4"/>
  <c r="D132" i="4"/>
  <c r="M131" i="4"/>
  <c r="H131" i="4"/>
  <c r="D131" i="4"/>
  <c r="M130" i="4"/>
  <c r="H130" i="4"/>
  <c r="D130" i="4"/>
  <c r="M129" i="4"/>
  <c r="H129" i="4"/>
  <c r="D129" i="4"/>
  <c r="M128" i="4"/>
  <c r="H128" i="4"/>
  <c r="D128" i="4"/>
  <c r="M127" i="4"/>
  <c r="H127" i="4"/>
  <c r="D127" i="4"/>
  <c r="M126" i="4"/>
  <c r="H126" i="4"/>
  <c r="D126" i="4"/>
  <c r="M125" i="4"/>
  <c r="H125" i="4"/>
  <c r="D125" i="4"/>
  <c r="M124" i="4"/>
  <c r="H124" i="4"/>
  <c r="D124" i="4"/>
  <c r="M123" i="4"/>
  <c r="H123" i="4"/>
  <c r="D123" i="4"/>
  <c r="M122" i="4"/>
  <c r="H122" i="4"/>
  <c r="D122" i="4"/>
  <c r="M121" i="4"/>
  <c r="H121" i="4"/>
  <c r="D121" i="4"/>
  <c r="M120" i="4"/>
  <c r="H120" i="4"/>
  <c r="D120" i="4"/>
  <c r="M119" i="4"/>
  <c r="H119" i="4"/>
  <c r="D119" i="4"/>
  <c r="M118" i="4"/>
  <c r="H118" i="4"/>
  <c r="D118" i="4"/>
  <c r="M117" i="4"/>
  <c r="H117" i="4"/>
  <c r="D117" i="4"/>
  <c r="M116" i="4"/>
  <c r="H116" i="4"/>
  <c r="D116" i="4"/>
  <c r="M115" i="4"/>
  <c r="H115" i="4"/>
  <c r="D115" i="4"/>
  <c r="M114" i="4"/>
  <c r="H114" i="4"/>
  <c r="D114" i="4"/>
  <c r="M113" i="4"/>
  <c r="H113" i="4"/>
  <c r="D113" i="4"/>
  <c r="M112" i="4"/>
  <c r="H112" i="4"/>
  <c r="D112" i="4"/>
  <c r="M111" i="4"/>
  <c r="H111" i="4"/>
  <c r="D111" i="4"/>
  <c r="M110" i="4"/>
  <c r="H110" i="4"/>
  <c r="D110" i="4"/>
  <c r="M109" i="4"/>
  <c r="H109" i="4"/>
  <c r="D109" i="4"/>
  <c r="M108" i="4"/>
  <c r="H108" i="4"/>
  <c r="D108" i="4"/>
  <c r="M107" i="4"/>
  <c r="H107" i="4"/>
  <c r="D107" i="4"/>
  <c r="M106" i="4"/>
  <c r="H106" i="4"/>
  <c r="D106" i="4"/>
  <c r="M105" i="4"/>
  <c r="H105" i="4"/>
  <c r="D105" i="4"/>
  <c r="M104" i="4"/>
  <c r="H104" i="4"/>
  <c r="D104" i="4"/>
  <c r="M103" i="4"/>
  <c r="H103" i="4"/>
  <c r="D103" i="4"/>
  <c r="M102" i="4"/>
  <c r="H102" i="4"/>
  <c r="D102" i="4"/>
  <c r="M101" i="4"/>
  <c r="H101" i="4"/>
  <c r="D101" i="4"/>
  <c r="M100" i="4"/>
  <c r="H100" i="4"/>
  <c r="D100" i="4"/>
  <c r="M99" i="4"/>
  <c r="H99" i="4"/>
  <c r="D99" i="4"/>
  <c r="M98" i="4"/>
  <c r="H98" i="4"/>
  <c r="D98" i="4"/>
  <c r="M97" i="4"/>
  <c r="H97" i="4"/>
  <c r="D97" i="4"/>
  <c r="M96" i="4"/>
  <c r="H96" i="4"/>
  <c r="D96" i="4"/>
  <c r="M95" i="4"/>
  <c r="H95" i="4"/>
  <c r="D95" i="4"/>
  <c r="M94" i="4"/>
  <c r="H94" i="4"/>
  <c r="D94" i="4"/>
  <c r="M93" i="4"/>
  <c r="H93" i="4"/>
  <c r="D93" i="4"/>
  <c r="M92" i="4"/>
  <c r="H92" i="4"/>
  <c r="D92" i="4"/>
  <c r="M91" i="4"/>
  <c r="H91" i="4"/>
  <c r="D91" i="4"/>
  <c r="M90" i="4"/>
  <c r="H90" i="4"/>
  <c r="D90" i="4"/>
  <c r="M89" i="4"/>
  <c r="H89" i="4"/>
  <c r="D89" i="4"/>
  <c r="M88" i="4"/>
  <c r="H88" i="4"/>
  <c r="D88" i="4"/>
  <c r="M87" i="4"/>
  <c r="H87" i="4"/>
  <c r="D87" i="4"/>
  <c r="M86" i="4"/>
  <c r="H86" i="4"/>
  <c r="D86" i="4"/>
  <c r="M85" i="4"/>
  <c r="H85" i="4"/>
  <c r="D85" i="4"/>
  <c r="M84" i="4"/>
  <c r="H84" i="4"/>
  <c r="D84" i="4"/>
  <c r="M83" i="4"/>
  <c r="H83" i="4"/>
  <c r="D83" i="4"/>
  <c r="M82" i="4"/>
  <c r="H82" i="4"/>
  <c r="D82" i="4"/>
  <c r="M81" i="4"/>
  <c r="H81" i="4"/>
  <c r="D81" i="4"/>
  <c r="M80" i="4"/>
  <c r="H80" i="4"/>
  <c r="D80" i="4"/>
  <c r="M79" i="4"/>
  <c r="H79" i="4"/>
  <c r="D79" i="4"/>
  <c r="M78" i="4"/>
  <c r="H78" i="4"/>
  <c r="D78" i="4"/>
  <c r="M77" i="4"/>
  <c r="H77" i="4"/>
  <c r="D77" i="4"/>
  <c r="M76" i="4"/>
  <c r="H76" i="4"/>
  <c r="D76" i="4"/>
  <c r="M75" i="4"/>
  <c r="H75" i="4"/>
  <c r="D75" i="4"/>
  <c r="L74" i="4"/>
  <c r="K74" i="4"/>
  <c r="J74" i="4"/>
  <c r="M74" i="4" s="1"/>
  <c r="I74" i="4"/>
  <c r="H74" i="4"/>
  <c r="D74" i="4"/>
  <c r="M73" i="4"/>
  <c r="H73" i="4"/>
  <c r="D73" i="4"/>
  <c r="M72" i="4"/>
  <c r="H72" i="4"/>
  <c r="D72" i="4"/>
  <c r="M71" i="4"/>
  <c r="H71" i="4"/>
  <c r="D71" i="4"/>
  <c r="M70" i="4"/>
  <c r="H70" i="4"/>
  <c r="D70" i="4"/>
  <c r="M69" i="4"/>
  <c r="H69" i="4"/>
  <c r="D69" i="4"/>
  <c r="M68" i="4"/>
  <c r="H68" i="4"/>
  <c r="D68" i="4"/>
  <c r="M67" i="4"/>
  <c r="H67" i="4"/>
  <c r="D67" i="4"/>
  <c r="M66" i="4"/>
  <c r="H66" i="4"/>
  <c r="D66" i="4"/>
  <c r="M65" i="4"/>
  <c r="H65" i="4"/>
  <c r="D65" i="4"/>
  <c r="M64" i="4"/>
  <c r="H64" i="4"/>
  <c r="D64" i="4"/>
  <c r="M63" i="4"/>
  <c r="H63" i="4"/>
  <c r="D63" i="4"/>
  <c r="M62" i="4"/>
  <c r="H62" i="4"/>
  <c r="D62" i="4"/>
  <c r="M61" i="4"/>
  <c r="H61" i="4"/>
  <c r="D61" i="4"/>
  <c r="M60" i="4"/>
  <c r="H60" i="4"/>
  <c r="D60" i="4"/>
  <c r="M59" i="4"/>
  <c r="H59" i="4"/>
  <c r="D59" i="4"/>
  <c r="M58" i="4"/>
  <c r="H58" i="4"/>
  <c r="D58" i="4"/>
  <c r="M57" i="4"/>
  <c r="H57" i="4"/>
  <c r="D57" i="4"/>
  <c r="M56" i="4"/>
  <c r="H56" i="4"/>
  <c r="D56" i="4"/>
  <c r="M55" i="4"/>
  <c r="H55" i="4"/>
  <c r="D55" i="4"/>
  <c r="M54" i="4"/>
  <c r="H54" i="4"/>
  <c r="D54" i="4"/>
  <c r="M53" i="4"/>
  <c r="H53" i="4"/>
  <c r="D53" i="4"/>
  <c r="M52" i="4"/>
  <c r="H52" i="4"/>
  <c r="D52" i="4"/>
  <c r="M51" i="4"/>
  <c r="H51" i="4"/>
  <c r="D51" i="4"/>
  <c r="M50" i="4"/>
  <c r="H50" i="4"/>
  <c r="D50" i="4"/>
  <c r="M49" i="4"/>
  <c r="H49" i="4"/>
  <c r="D49" i="4"/>
  <c r="M48" i="4"/>
  <c r="H48" i="4"/>
  <c r="D48" i="4"/>
  <c r="M47" i="4"/>
  <c r="H47" i="4"/>
  <c r="D47" i="4"/>
  <c r="M46" i="4"/>
  <c r="H46" i="4"/>
  <c r="D46" i="4"/>
  <c r="M45" i="4"/>
  <c r="H45" i="4"/>
  <c r="D45" i="4"/>
  <c r="M44" i="4"/>
  <c r="H44" i="4"/>
  <c r="D44" i="4"/>
  <c r="M43" i="4"/>
  <c r="H43" i="4"/>
  <c r="D43" i="4"/>
  <c r="M42" i="4"/>
  <c r="H42" i="4"/>
  <c r="D42" i="4"/>
  <c r="M41" i="4"/>
  <c r="H41" i="4"/>
  <c r="D41" i="4"/>
  <c r="M40" i="4"/>
  <c r="H40" i="4"/>
  <c r="D40" i="4"/>
  <c r="M39" i="4"/>
  <c r="H39" i="4"/>
  <c r="D39" i="4"/>
  <c r="M38" i="4"/>
  <c r="H38" i="4"/>
  <c r="D38" i="4"/>
  <c r="M37" i="4"/>
  <c r="H37" i="4"/>
  <c r="D37" i="4"/>
  <c r="M36" i="4"/>
  <c r="H36" i="4"/>
  <c r="D36" i="4"/>
  <c r="M35" i="4"/>
  <c r="H35" i="4"/>
  <c r="D35" i="4"/>
  <c r="M34" i="4"/>
  <c r="H34" i="4"/>
  <c r="D34" i="4"/>
  <c r="M33" i="4"/>
  <c r="H33" i="4"/>
  <c r="D33" i="4"/>
  <c r="M32" i="4"/>
  <c r="H32" i="4"/>
  <c r="D32" i="4"/>
  <c r="M31" i="4"/>
  <c r="H31" i="4"/>
  <c r="D31" i="4"/>
  <c r="M30" i="4"/>
  <c r="H30" i="4"/>
  <c r="D30" i="4"/>
  <c r="M29" i="4"/>
  <c r="H29" i="4"/>
  <c r="D29" i="4"/>
  <c r="M28" i="4"/>
  <c r="H28" i="4"/>
  <c r="D28" i="4"/>
  <c r="M27" i="4"/>
  <c r="H27" i="4"/>
  <c r="D27" i="4"/>
  <c r="M26" i="4"/>
  <c r="H26" i="4"/>
  <c r="D26" i="4"/>
  <c r="M25" i="4"/>
  <c r="H25" i="4"/>
  <c r="D25" i="4"/>
  <c r="M24" i="4"/>
  <c r="H24" i="4"/>
  <c r="D24" i="4"/>
  <c r="M23" i="4"/>
  <c r="H23" i="4"/>
  <c r="D23" i="4"/>
  <c r="M22" i="4"/>
  <c r="H22" i="4"/>
  <c r="D22" i="4"/>
  <c r="M21" i="4"/>
  <c r="H21" i="4"/>
  <c r="D21" i="4"/>
  <c r="M20" i="4"/>
  <c r="H20" i="4"/>
  <c r="D20" i="4"/>
  <c r="M19" i="4"/>
  <c r="H19" i="4"/>
  <c r="D19" i="4"/>
  <c r="M18" i="4"/>
  <c r="H18" i="4"/>
  <c r="D18" i="4"/>
  <c r="M17" i="4"/>
  <c r="H17" i="4"/>
  <c r="D17" i="4"/>
  <c r="M16" i="4"/>
  <c r="H16" i="4"/>
  <c r="D16" i="4"/>
  <c r="M15" i="4"/>
  <c r="H15" i="4"/>
  <c r="D15" i="4"/>
  <c r="M14" i="4"/>
  <c r="H14" i="4"/>
  <c r="D14" i="4"/>
  <c r="M13" i="4"/>
  <c r="H13" i="4"/>
  <c r="D13" i="4"/>
  <c r="M12" i="4"/>
  <c r="H12" i="4"/>
  <c r="D12" i="4"/>
  <c r="M11" i="4"/>
  <c r="H11" i="4"/>
  <c r="D11" i="4"/>
  <c r="M10" i="4"/>
  <c r="H10" i="4"/>
  <c r="D10" i="4"/>
  <c r="M9" i="4"/>
  <c r="H9" i="4"/>
  <c r="D9" i="4"/>
  <c r="M8" i="4"/>
  <c r="H8" i="4"/>
  <c r="D8" i="4"/>
  <c r="M7" i="4"/>
  <c r="H7" i="4"/>
  <c r="D7" i="4"/>
  <c r="M6" i="4"/>
  <c r="H6" i="4"/>
  <c r="D6" i="4"/>
  <c r="M5" i="4"/>
  <c r="M143" i="4" s="1"/>
  <c r="H5" i="4"/>
  <c r="D5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USUARIO</author>
  </authors>
  <commentList>
    <comment ref="N21" authorId="0" shapeId="0" xr:uid="{A411F1A6-8463-41EA-8426-94F01BB78D69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GASTO DIRECTO</t>
        </r>
      </text>
    </comment>
    <comment ref="N32" authorId="0" shapeId="0" xr:uid="{67B1F812-7082-4272-B026-0BF87F376BFB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GASTO DIRECTO</t>
        </r>
      </text>
    </comment>
  </commentList>
</comments>
</file>

<file path=xl/sharedStrings.xml><?xml version="1.0" encoding="utf-8"?>
<sst xmlns="http://schemas.openxmlformats.org/spreadsheetml/2006/main" count="6169" uniqueCount="390">
  <si>
    <t>RAMO/SUBRAMO</t>
  </si>
  <si>
    <t>PROGRAMA PRESUPUESTARIO</t>
  </si>
  <si>
    <t>FUENTE DE FINANCIAMIENTO</t>
  </si>
  <si>
    <t>TIPO DE F.F.</t>
  </si>
  <si>
    <t>UNIDAD RESPONSABLE</t>
  </si>
  <si>
    <t>CAPÍTULO</t>
  </si>
  <si>
    <t>PARTIDA COG</t>
  </si>
  <si>
    <t>DESCRIPCIÓN PARTIDA COG</t>
  </si>
  <si>
    <t>TRIMESTRE II</t>
  </si>
  <si>
    <t>TRIMESTRE III</t>
  </si>
  <si>
    <t>TRIMESTRE IV</t>
  </si>
  <si>
    <t>PROCEDIM. DE CONTRATACIÓN PROPUESTO</t>
  </si>
  <si>
    <t>FECHA ESTIMADA PARA REALIZAR EL PROCEDIMIENTO</t>
  </si>
  <si>
    <t>FUNDAMENTO LEGAL</t>
  </si>
  <si>
    <t>PARTICIPACIONES Ramo 28</t>
  </si>
  <si>
    <t>MATERIALES</t>
  </si>
  <si>
    <t>Material de oficina</t>
  </si>
  <si>
    <t>Consolidación</t>
  </si>
  <si>
    <t>Material de limpieza</t>
  </si>
  <si>
    <t>Ajudicación Directa</t>
  </si>
  <si>
    <t>Invitación a Cuando Menos Tres</t>
  </si>
  <si>
    <t>BIENES</t>
  </si>
  <si>
    <t>SERVICIOS</t>
  </si>
  <si>
    <t>Arrendamiento de edificios</t>
  </si>
  <si>
    <t>Gobierno del Estado de Baja California Sur</t>
  </si>
  <si>
    <t>Programa Anual de Adquisiciones Arrendamientos y Servicios Ejercicio 2025</t>
  </si>
  <si>
    <t>TRIMESTRE  I</t>
  </si>
  <si>
    <t xml:space="preserve">PRESUPUESTO ANUAL AUTORIZADO </t>
  </si>
  <si>
    <t>Refacciones y accesorios menores de mobiliario y equipo de administración, educacional y recreativo</t>
  </si>
  <si>
    <t>Servicios de consultoría administrativa, procesos, técnica y en tecnologías de la información</t>
  </si>
  <si>
    <t>Licitación Pública</t>
  </si>
  <si>
    <t>Pasajes aéreos</t>
  </si>
  <si>
    <t xml:space="preserve">TOTAL </t>
  </si>
  <si>
    <t>Contraloría General</t>
  </si>
  <si>
    <t>O002</t>
  </si>
  <si>
    <t>Oficina del Contralor General</t>
  </si>
  <si>
    <t>Inicia desde el mes febrero</t>
  </si>
  <si>
    <t>LAASEBCS ART. 21</t>
  </si>
  <si>
    <t>Dirección Administrativa</t>
  </si>
  <si>
    <t>Dirección Jurídica</t>
  </si>
  <si>
    <t>Dirección de Auditoría Gubernamental</t>
  </si>
  <si>
    <t>Dirección de Anticorrupción</t>
  </si>
  <si>
    <t>Dirección de Seguimiento a Programas Federales</t>
  </si>
  <si>
    <t>Dirección de Control de Obras</t>
  </si>
  <si>
    <t>LAASEBCS ART. 51 Y 53 FRACC. I</t>
  </si>
  <si>
    <t>Inicia desde el mes enero</t>
  </si>
  <si>
    <t>Combustibles</t>
  </si>
  <si>
    <t>Seguros</t>
  </si>
  <si>
    <t>Viáticos</t>
  </si>
  <si>
    <t>1 DE ENERO 2025</t>
  </si>
  <si>
    <t>Material y útiles de impresión</t>
  </si>
  <si>
    <t>Herramientas, refacciones y accesorios</t>
  </si>
  <si>
    <t>Servicio de energía eléctrica</t>
  </si>
  <si>
    <t>Servicio de agua potable</t>
  </si>
  <si>
    <t>Servicio telefónico</t>
  </si>
  <si>
    <t>Arrendamiento de maquinaria y equipo de Administración</t>
  </si>
  <si>
    <t>Mantto. y conservación de vehículos terrestres, aéreos, marítimos, lacustres y fluviales</t>
  </si>
  <si>
    <t>Gastos de recepción, conmemorativos y de orden social</t>
  </si>
  <si>
    <t>Procuraduría General de Justicia del Estado</t>
  </si>
  <si>
    <t>B025E0181</t>
  </si>
  <si>
    <t>Despacho del Procurador</t>
  </si>
  <si>
    <t>LAASEBCS ART 21</t>
  </si>
  <si>
    <t>B025E0182</t>
  </si>
  <si>
    <t>LAASEBCS ART 51 Y 53 FRACC I</t>
  </si>
  <si>
    <t>LAASEBCS ART 51 Y 53 FRACC II</t>
  </si>
  <si>
    <t>LAASEBCS ART 52 FRACC. II Y XVIII</t>
  </si>
  <si>
    <t>LAASEBCS ART 51 Y 53 FRACC XIII</t>
  </si>
  <si>
    <t>LAASEBCS ART 52 FRACC. V</t>
  </si>
  <si>
    <t>SUBSECRETARIA DE LA CONSEJERIA JURIDICA</t>
  </si>
  <si>
    <t>P009</t>
  </si>
  <si>
    <t>OFICINA DEL SUBSECRETARIO DE LA CONSEJERIA JURIDICA</t>
  </si>
  <si>
    <t>01 DE ENERO 2025</t>
  </si>
  <si>
    <t>DIRECCION DE ADMINISTRACION E INFORMATICA</t>
  </si>
  <si>
    <t>DIRECCION GENERAL DE LA DEFENSORIA PUBLICA DEL ESTADO DE BCS</t>
  </si>
  <si>
    <t>DIRECCION DE LA DEFENSORIA DE OFICIO (COORDINACION PENAL)</t>
  </si>
  <si>
    <t>DIRECCION DE LA DEFENSORIA DE OFICIO (COORDINACION CIVIL)</t>
  </si>
  <si>
    <t>DIRECCION DE LA DEFENSORIA DE OFICIO (COORDINACION DE LA PROCURADURIA DE JUSTICIA DEL ESTADO)</t>
  </si>
  <si>
    <t>DIRECCION DE ARCHIVO GENERAL DE NOTARIAS</t>
  </si>
  <si>
    <t>DIRECCION JURIDICA CONTENCIOSA (OFICINA DE LO CONTENCIOSO)</t>
  </si>
  <si>
    <t>DIRECCION JURIDICA CONTENCIOSA (COORDINACION JURIDICA DE ASUNTOS LABORALES)</t>
  </si>
  <si>
    <t>DIRECCION JURIDICA CONTENCIOSA (COORDINACION JURIDICA DE AMPAROS Y ADMINISTRATIVOS)</t>
  </si>
  <si>
    <t>DIRECCION JURIDICA DE ASESORIA</t>
  </si>
  <si>
    <t>DIRECCION JURIDICA DE ESTUDIOS Y PROYECTOS LEGISLATIVOS</t>
  </si>
  <si>
    <t>UNIDAD DE ASESORES JURIDICOS</t>
  </si>
  <si>
    <t>DIRECCION DE LA DEFENSORA DE OFICIO (COORDINACION PENAL)</t>
  </si>
  <si>
    <t>DIRECCION JURIDICA CONTENCIOSA</t>
  </si>
  <si>
    <t>LAASEBCS ART. 21 Y 53 FRACC. I</t>
  </si>
  <si>
    <t>DIRECCION JURIDICO CONTENCIOSA</t>
  </si>
  <si>
    <t>LAASEBCS ART. 33</t>
  </si>
  <si>
    <t>Secretaria de Educación Pública</t>
  </si>
  <si>
    <t>E004</t>
  </si>
  <si>
    <t>CASA DEL ESTUDIANTE SUDCALIF.</t>
  </si>
  <si>
    <t>Materiales, útiles y equipos menores de tecnologías de la información y comunicaciones</t>
  </si>
  <si>
    <t>Alimentación de personas</t>
  </si>
  <si>
    <t>Utensilios para el servicio de alimentación</t>
  </si>
  <si>
    <t>Material eléctrico</t>
  </si>
  <si>
    <t>Refacciones y accesorios menores de edificios (candados, cerraduras, chapas, llaves)</t>
  </si>
  <si>
    <t>Materiales de construcción y complementarios</t>
  </si>
  <si>
    <t>Productos textiles</t>
  </si>
  <si>
    <t>FONE Ramo 33</t>
  </si>
  <si>
    <t>COORDINACIÓN  DE ENLACE INFORMATIVO</t>
  </si>
  <si>
    <t xml:space="preserve"> E004</t>
  </si>
  <si>
    <t/>
  </si>
  <si>
    <t xml:space="preserve"> $-   </t>
  </si>
  <si>
    <t>F010</t>
  </si>
  <si>
    <t>DIRECCION DE 
EDUCACION 
FISICA</t>
  </si>
  <si>
    <t>Congresos y convenciones</t>
  </si>
  <si>
    <t>Departamento de Educacion Especial</t>
  </si>
  <si>
    <t>SERVICIOS REGIONALES LORETO</t>
  </si>
  <si>
    <t>FONE RAMO 33</t>
  </si>
  <si>
    <t>DIRECCIÓN GRAL. DE EDUC. BÁSICA</t>
  </si>
  <si>
    <t>Lubricantes y aditivos</t>
  </si>
  <si>
    <t>Herramientas Auxiliares de Trabajo</t>
  </si>
  <si>
    <t>Dispositivos Internos y Externos de Equipo de Computo</t>
  </si>
  <si>
    <t>Coordinación Estatal de Cedex</t>
  </si>
  <si>
    <t xml:space="preserve">Administración de las Unidades UPN </t>
  </si>
  <si>
    <t>008001</t>
  </si>
  <si>
    <t>Telesecundaria</t>
  </si>
  <si>
    <t>AA-08-P1 DIRECCIÓN DE PLANEACIÓN  Y EVALUACIÓN EDUCATIVA</t>
  </si>
  <si>
    <t>Materiales y útiles de enseñanza</t>
  </si>
  <si>
    <t>AA-08-E1 INSCRIPCIONES EN FEBRERO</t>
  </si>
  <si>
    <t>AA-08-P4 DEPARTAMENTO DE PROGRAMACIÓN Y PRESUPUESTO</t>
  </si>
  <si>
    <t>Refacciones y Accesorios Menores de Equipo de Computo</t>
  </si>
  <si>
    <t>Coordinación de Protección Civil y Emergencia Escolar</t>
  </si>
  <si>
    <t>Prendas de seguridad y protección personal</t>
  </si>
  <si>
    <t>DIRECCIÓN DE EDUCACIÓN SECUNDARIA</t>
  </si>
  <si>
    <t>SECUNDARIA GENERAL</t>
  </si>
  <si>
    <t>SECUNDARIA TECNICA</t>
  </si>
  <si>
    <t>INTERNADO SECUNDARIA TECNICA 6</t>
  </si>
  <si>
    <t>DA04D1</t>
  </si>
  <si>
    <t xml:space="preserve">DIRECCION DE EDUCACION PRIMARIA </t>
  </si>
  <si>
    <t>DA04C1</t>
  </si>
  <si>
    <t xml:space="preserve">RECONOCIMIENTOS Y ESTIMULOS PARA ALUMNOS </t>
  </si>
  <si>
    <t>DL04E3</t>
  </si>
  <si>
    <t>COORDINACION DE SERVICIOS CULTURALES</t>
  </si>
  <si>
    <t>20 MARZO DEL 2025</t>
  </si>
  <si>
    <t>UESICAMM</t>
  </si>
  <si>
    <t>01 DEFEBRERO 2025</t>
  </si>
  <si>
    <t>Departamento de Educación Inicial</t>
  </si>
  <si>
    <t>AEDD04D1 BENU</t>
  </si>
  <si>
    <t>Fone Ramo 33</t>
  </si>
  <si>
    <t>DF02D1 - Centro de Áreas Múltiples (CAM)</t>
  </si>
  <si>
    <t>DA01C1- Centro De Atencion Preventiva En Educacion Preescolar</t>
  </si>
  <si>
    <t>DF02C2 -    Unidad De Servicios De Apoyo A La Educacion Regular ( Usaer )</t>
  </si>
  <si>
    <t>DF02C5 -     Supervision Y Asesoria En Educacion Especial</t>
  </si>
  <si>
    <t>ALIMENTACION DE PERSONAS</t>
  </si>
  <si>
    <t>MANTENIMIENTO Y CONSERVACION DE VEHICULOS TERRESTRES, AREOS, MARITIMOS, LACUSTRES Y FLUVIALES</t>
  </si>
  <si>
    <t>GASTOS DE RECEPCION CONMEMORATIVOS Y DE ORDEN SOCIAL</t>
  </si>
  <si>
    <t>ADAPTACIONES PARA EVENTOS SOCIALES Y CULTURALES</t>
  </si>
  <si>
    <t>GASTOS MENORES</t>
  </si>
  <si>
    <t xml:space="preserve">FUMIGACION DE INMUEBLES </t>
  </si>
  <si>
    <t>DIRECCIÓN DE EDUCACIÓN PREESCOLAR</t>
  </si>
  <si>
    <t>Material didáctico</t>
  </si>
  <si>
    <t>Mantenimiento de inmuebles</t>
  </si>
  <si>
    <t>Fumigación de Inmuebles</t>
  </si>
  <si>
    <t>Servicios de higiene y limpieza</t>
  </si>
  <si>
    <t>5F-12-E1 MANTENIMIENTO PREVENTIVO</t>
  </si>
  <si>
    <t>Gastos de difusión a través de internet</t>
  </si>
  <si>
    <t>Servicios de acceso de Internet, redes y procesamiento de información</t>
  </si>
  <si>
    <t>Servicios de Capacitación</t>
  </si>
  <si>
    <t>Servicio de Impresión y Elaboración de Material Informativo</t>
  </si>
  <si>
    <t>Reparación y mantenimiento de equipo de defensa y seguridad</t>
  </si>
  <si>
    <t>Servicio de Gas L.P.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</si>
  <si>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</si>
  <si>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REGISTRO Y CERTIFICACION ESCOLAR</t>
  </si>
  <si>
    <t>E01801</t>
  </si>
  <si>
    <t>Arrendamientos especiales</t>
  </si>
  <si>
    <t>Mantenimiento de mobiliario y equipo</t>
  </si>
  <si>
    <t>20' DE MARZO 2025</t>
  </si>
  <si>
    <t>DL04E4</t>
  </si>
  <si>
    <t>Espectáculos y actividades culturales</t>
  </si>
  <si>
    <t>CECOTED</t>
  </si>
  <si>
    <t>Abril</t>
  </si>
  <si>
    <t>LAASEBCS ART.21</t>
  </si>
  <si>
    <t>Abril a Octubre</t>
  </si>
  <si>
    <t>Mayo</t>
  </si>
  <si>
    <t>Marzo a Octubre</t>
  </si>
  <si>
    <t>Servicio de Fotocopiado, Enmicado y Encuadernación de Documentos.</t>
  </si>
  <si>
    <t>AA08P3 ESTADISTICA</t>
  </si>
  <si>
    <t xml:space="preserve"> TOTAL </t>
  </si>
  <si>
    <t>Secretaria de Pesca Acuacultura y Desarrollo Agropecuario</t>
  </si>
  <si>
    <t>C028P0071</t>
  </si>
  <si>
    <t>MATERIAL DE OFICINA</t>
  </si>
  <si>
    <t>15 de enero 2025</t>
  </si>
  <si>
    <t>MATERIAL Y UTILES DE IMPRESION</t>
  </si>
  <si>
    <t>15 de marzo 2025</t>
  </si>
  <si>
    <t>LAASBCS ART. 51 Y ART. 53 FRACC. II</t>
  </si>
  <si>
    <t xml:space="preserve">MATERIAL DIDACTICO </t>
  </si>
  <si>
    <t>30 de febrero 2025</t>
  </si>
  <si>
    <t>LAASEBCS ART. 51 Y ART. 53 FRACC. I</t>
  </si>
  <si>
    <t xml:space="preserve">MATERIAL DE LIMPIEZA </t>
  </si>
  <si>
    <t xml:space="preserve">ALIMENTACION DE PERSONAS </t>
  </si>
  <si>
    <t>30 de enero 2025</t>
  </si>
  <si>
    <t>UTENSILIOS PARA EL SERVICIO DE LA ALIMENTACION</t>
  </si>
  <si>
    <t>15 de febrero 2025</t>
  </si>
  <si>
    <t xml:space="preserve">MATERIAL ELECTRICO </t>
  </si>
  <si>
    <t>15 de febrero  2025</t>
  </si>
  <si>
    <t>MATERIAL Y PRODUCTOS QUIMICOS FARMACEUTICOS</t>
  </si>
  <si>
    <t xml:space="preserve">COMBUSTIBLES </t>
  </si>
  <si>
    <t xml:space="preserve">LUBRICANTES Y ADITIVOS </t>
  </si>
  <si>
    <t xml:space="preserve">ROPA, VESTUARIO Y EQUIPO </t>
  </si>
  <si>
    <t xml:space="preserve">ARTICULOS DEPORTIVOS </t>
  </si>
  <si>
    <t>15 de marzo  2025</t>
  </si>
  <si>
    <t>REFACCIONES Y ACCESORIOS MENORES DE EDIFICIOS( CANDADOS, CERRADURAS, CHAPAS</t>
  </si>
  <si>
    <t xml:space="preserve">REFACCIONES Y ACCESORIOS MENORES DE MOBILIARIO Y EQUIPO DE ADMINISTRACION </t>
  </si>
  <si>
    <t xml:space="preserve">DISPOSITIVOS INTERNOS Y EXTERNOS DE EQUIPO DE COMPUTO </t>
  </si>
  <si>
    <t xml:space="preserve">REFACCIONES Y ACCESORIOS MENORES DE EQUIPO DE COMPUTO </t>
  </si>
  <si>
    <t xml:space="preserve">HERRAMIENTAS, REFACCIONES Y ACCESORIOS </t>
  </si>
  <si>
    <t xml:space="preserve">SERVICIO DE ENERGIA ELECTRICA </t>
  </si>
  <si>
    <t xml:space="preserve">SERVICIO TELEFONICO </t>
  </si>
  <si>
    <t xml:space="preserve">SERVICIO POSTAL Y TELGRAFICO </t>
  </si>
  <si>
    <t xml:space="preserve">ARRENDAMIENTOS DE TERRENOS </t>
  </si>
  <si>
    <t xml:space="preserve">ARRENDAMIENTOS DE EDIFICIOS </t>
  </si>
  <si>
    <t xml:space="preserve">ARRENDAMIENTOS DE MAQUINARIA Y EQUIPO </t>
  </si>
  <si>
    <t xml:space="preserve">ARRENDAMIENTO DE EQUIPO DE TRANSPORTE </t>
  </si>
  <si>
    <t xml:space="preserve">ARRENDAMIENTOS ESPECIALES </t>
  </si>
  <si>
    <t xml:space="preserve">CUOTAS O INSCRIPCIONES </t>
  </si>
  <si>
    <t xml:space="preserve">COMISIONES, DESCUENTOS Y OTROS SERVICIOS BANCARIOS </t>
  </si>
  <si>
    <t>SEGUROS</t>
  </si>
  <si>
    <t xml:space="preserve">FLETES MANIOBRAS Y ALMACENAJE </t>
  </si>
  <si>
    <t xml:space="preserve">MANTENIMIENTO DE INMUEBLES </t>
  </si>
  <si>
    <t xml:space="preserve">MANTEMIENTO DE MOBILIARIO  Y EQUIPO </t>
  </si>
  <si>
    <t xml:space="preserve">GASTOS DE INSTALACION </t>
  </si>
  <si>
    <t xml:space="preserve">MANTEMIIENTO Y CONSERVACION DE VEHICULOS TERRESTRES, AEROS, MARITIMOS </t>
  </si>
  <si>
    <t xml:space="preserve">SERVICIOS DE HIGIENE Y LIMPIEZA </t>
  </si>
  <si>
    <t xml:space="preserve">SERVICIOS DE LIMPIEZA Y LAVADO DE VEHICULOS </t>
  </si>
  <si>
    <t xml:space="preserve">ARBOLES, PLANTAS SEMILLAS Y ABONOS </t>
  </si>
  <si>
    <t xml:space="preserve">IMPRESIONES Y PUBLICACIONES OFICIALES </t>
  </si>
  <si>
    <t xml:space="preserve">ROTULACIONES OFICIALES </t>
  </si>
  <si>
    <t xml:space="preserve">PASAJES AEROS </t>
  </si>
  <si>
    <t xml:space="preserve">VIATICOS </t>
  </si>
  <si>
    <t xml:space="preserve">GASTOS DE RECEPCION, CONMEMORATIVOS Y DE ORDEN SOCIAL </t>
  </si>
  <si>
    <t xml:space="preserve">CONGRESOS Y CONVENCIONES </t>
  </si>
  <si>
    <t>15 de febrero de 2025</t>
  </si>
  <si>
    <t xml:space="preserve">IMPUESTOS Y DERECHOS </t>
  </si>
  <si>
    <t xml:space="preserve">GASTOS MENORES </t>
  </si>
  <si>
    <t>SECRETARIA DE PLANEACION URBANA, INFRAESTRUCTURA, MOVILIDAD, MEDIO AMBIENTE Y RECURSOS NATURALES</t>
  </si>
  <si>
    <t>TOTAL POR EJERCER</t>
  </si>
  <si>
    <t>D011P013</t>
  </si>
  <si>
    <t>OFICINA DEL SECRETARIO</t>
  </si>
  <si>
    <t>Consolidacion</t>
  </si>
  <si>
    <t>LAASBCS ART 51 Y ART 53 FRACC I</t>
  </si>
  <si>
    <r>
      <t>Gobierno del Estado de Baja California Sur/</t>
    </r>
    <r>
      <rPr>
        <b/>
        <sz val="18"/>
        <color rgb="FFC00000"/>
        <rFont val="Arial"/>
        <family val="2"/>
      </rPr>
      <t>SGG</t>
    </r>
  </si>
  <si>
    <t>ORGANISMOS DESCONCENTRADOS / SECRETARIA GENERAL DE GOBIERNO</t>
  </si>
  <si>
    <t>U018</t>
  </si>
  <si>
    <t>COMISION ESTATAL DE BUSQUEDA DE PERSONAS</t>
  </si>
  <si>
    <t>SIPINNA</t>
  </si>
  <si>
    <t>ATENCION A VICTIMAS DEL DELITO</t>
  </si>
  <si>
    <t xml:space="preserve">MATERIAL DE OFICINA </t>
  </si>
  <si>
    <t xml:space="preserve">COMISION ERRADICAR LA TRATA DE PERSONAS </t>
  </si>
  <si>
    <t>LAASBCS ART 51 Y 53 FRACC.II</t>
  </si>
  <si>
    <t>LAASBCS ART 51 Y 53 FRACC.I</t>
  </si>
  <si>
    <t>LAASBCS ART 35</t>
  </si>
  <si>
    <t>ROPA VESTUARIO Y EQUIPO</t>
  </si>
  <si>
    <t>LASEBCS ART 21</t>
  </si>
  <si>
    <t>MANTENIMIENTO DE INMUEBLE</t>
  </si>
  <si>
    <t>LAASEBCS ART 51 Y 53 FRACC. I</t>
  </si>
  <si>
    <t>Fumigacion</t>
  </si>
  <si>
    <t>LAASBCS ART 36</t>
  </si>
  <si>
    <t>LAASBCS ART 37</t>
  </si>
  <si>
    <t>SECRETARIA GENERAL DE GOBIERNO</t>
  </si>
  <si>
    <t>E001</t>
  </si>
  <si>
    <t>oficina del Secretario General</t>
  </si>
  <si>
    <t>unidad de apoyo administrativo e informatico</t>
  </si>
  <si>
    <t>oficina del sub secretario gral de Gno</t>
  </si>
  <si>
    <t>Oficina de Enlace Gubernamental</t>
  </si>
  <si>
    <t>Archivo Gral de Gobierno</t>
  </si>
  <si>
    <t>E013</t>
  </si>
  <si>
    <t>Tribunal de Conciliacion y Arbitraje Para Los Trabajadores del edo</t>
  </si>
  <si>
    <t>N002</t>
  </si>
  <si>
    <t>Subsecretaria de Proteccion Civil</t>
  </si>
  <si>
    <t>Subsecretaria de Enlace Legislativo</t>
  </si>
  <si>
    <t>Oficina del Secretario Gral de Gno</t>
  </si>
  <si>
    <t>Dirección de Enlace Gubernamental</t>
  </si>
  <si>
    <t>01 DE ENERO 2024</t>
  </si>
  <si>
    <t>LAASBCS ART 33</t>
  </si>
  <si>
    <t>Oficina del Sub Secretario Gral de Gno</t>
  </si>
  <si>
    <t>Sub secretaria de Enlace Legislativo</t>
  </si>
  <si>
    <t>LAASEBCS ART 51 Y 53 FRACC. II</t>
  </si>
  <si>
    <t xml:space="preserve">MANTENIMIENTO INMUEBLE </t>
  </si>
  <si>
    <t>03 DE JULIO 2024</t>
  </si>
  <si>
    <t>3 DE JULIO 2024</t>
  </si>
  <si>
    <t>LAASEBCS ART 51 Y  53 FRACC. II</t>
  </si>
  <si>
    <t>SECRETARÍA DE SEGURIDAD PÚBLICA</t>
  </si>
  <si>
    <t>B02400000</t>
  </si>
  <si>
    <t>DGAF</t>
  </si>
  <si>
    <t>LAASBCS-35</t>
  </si>
  <si>
    <t>LAASBCS-42</t>
  </si>
  <si>
    <t>PEP K9</t>
  </si>
  <si>
    <t>LAASBCS-52-I</t>
  </si>
  <si>
    <t>DGSP</t>
  </si>
  <si>
    <t>LAASBCS-31</t>
  </si>
  <si>
    <t>C4</t>
  </si>
  <si>
    <t>Secretaría del Trabajo, Bienestar y Desarrollo Social</t>
  </si>
  <si>
    <t>E005</t>
  </si>
  <si>
    <t>Oficina del Secretario del Trabajo, Bienestar y Desarrollo Social</t>
  </si>
  <si>
    <t>LAASEBCS Art. 21</t>
  </si>
  <si>
    <t>LAASSP Art. 31, Fracción III</t>
  </si>
  <si>
    <t>LAASSP Art. 21</t>
  </si>
  <si>
    <t xml:space="preserve">Dirección de Apoyo Advo. E Informatico </t>
  </si>
  <si>
    <t>Dirección Gral. de SNEBCS</t>
  </si>
  <si>
    <t>LAASBCS Art. 21</t>
  </si>
  <si>
    <t>E008</t>
  </si>
  <si>
    <t>Dirección de Inspencción Laboral y Segurirdad e Higiene</t>
  </si>
  <si>
    <t>Procuraduría de la Defensa del Trabajo</t>
  </si>
  <si>
    <t>Junta Local de Concilación y Arbitraje</t>
  </si>
  <si>
    <t>Junta Especial de Concilación CSL</t>
  </si>
  <si>
    <t>S003</t>
  </si>
  <si>
    <t>Oficina del Subsecretario de Bienestar y Desarrollo Social</t>
  </si>
  <si>
    <t>Dirección de Planeación, Evaluación y Desarrollo Regional</t>
  </si>
  <si>
    <t>Dirección de Desarrollo Comunitario y Participación Social</t>
  </si>
  <si>
    <t>LAASBCS Art.21</t>
  </si>
  <si>
    <t>Dirección de Desarrollo Social y Humano</t>
  </si>
  <si>
    <t xml:space="preserve">LAASBCS Art. 21, </t>
  </si>
  <si>
    <t>2 de enero de 2025</t>
  </si>
  <si>
    <t>Impresiones y publicaciones oficiales</t>
  </si>
  <si>
    <t>P012</t>
  </si>
  <si>
    <t>Oficina del Ejecutivo</t>
  </si>
  <si>
    <t>ART. 21 LAASBCS.</t>
  </si>
  <si>
    <t>Adjudicación Directa</t>
  </si>
  <si>
    <t>ART. 53 FRAC. I LAASBCS.</t>
  </si>
  <si>
    <t>Invitación a Cuando Menos Tres Personas</t>
  </si>
  <si>
    <t>ART. 53 FRAC. II LAASBCS.</t>
  </si>
  <si>
    <t>Dirección General  de Eventos de la Jefatura de la Oficina del Ejecutivo.</t>
  </si>
  <si>
    <t xml:space="preserve">Dirección General de Administración </t>
  </si>
  <si>
    <t>Dirección General de Administración de la Jefaura de la Oficina del Ejecutivo</t>
  </si>
  <si>
    <t>Secretaria Privada</t>
  </si>
  <si>
    <t>Dirección de Transparencia y Mejora Regulatoria</t>
  </si>
  <si>
    <t>Coordinación de Asesores</t>
  </si>
  <si>
    <t>Dirección de Relaciones Públicas</t>
  </si>
  <si>
    <t>Dirección de Planeación y Evaluación</t>
  </si>
  <si>
    <t>Dirección del Comité de Planeación para el Desarrollo del Estrado de BCS</t>
  </si>
  <si>
    <t>Dirección General de Comunicación Social</t>
  </si>
  <si>
    <t>P12</t>
  </si>
  <si>
    <t>De febrero a diciembre 2025</t>
  </si>
  <si>
    <t>De enero a diciembre 2025</t>
  </si>
  <si>
    <t>Nota: La partida es 2150002; denominada Suscrip. A Period.,Rev. y Publicaciones. El formato esta bloqueado y no permite hacer el cambio.</t>
  </si>
  <si>
    <t>SUBSECRETARIA DE ADMINISTRACION</t>
  </si>
  <si>
    <t>E036M0021</t>
  </si>
  <si>
    <t xml:space="preserve">LAASEBCS </t>
  </si>
  <si>
    <t>COORDINACION DE APOYO ADMIVO</t>
  </si>
  <si>
    <t>Área de Apoyo Técnico</t>
  </si>
  <si>
    <t>Coordinación de Mantenimiento y Conservación</t>
  </si>
  <si>
    <t>Unidad de Eventos Especiales</t>
  </si>
  <si>
    <t>Departamento de Personal</t>
  </si>
  <si>
    <t>Departamento de Prestaciones Económicas y Sociales</t>
  </si>
  <si>
    <t>Departamento de Nóminas</t>
  </si>
  <si>
    <t>Departamento de Valoración y Aplicación de la Normativid</t>
  </si>
  <si>
    <t>Dirección General de Recursos Humanos</t>
  </si>
  <si>
    <t>Estancia de Desarrollo Integral Infantil (EDII) Luz Davi</t>
  </si>
  <si>
    <t>Dirección de Servicios Generales e Inventarios</t>
  </si>
  <si>
    <t>Archivo de Secretaría de Finanzas y Administració</t>
  </si>
  <si>
    <t>Talleres Gráficos</t>
  </si>
  <si>
    <t>Talleres Generales de Gobierno</t>
  </si>
  <si>
    <t>Dirección General de Recursos Materiales</t>
  </si>
  <si>
    <t>Dirección General de Servicios Aéreos</t>
  </si>
  <si>
    <t xml:space="preserve">LAASEBCS Art. 21 </t>
  </si>
  <si>
    <t>Direccion General de Servicios Aereos</t>
  </si>
  <si>
    <t>Secretaria de Turismo y Economía</t>
  </si>
  <si>
    <t>P0061</t>
  </si>
  <si>
    <t>Oficina de la Secretaria de Turismo y Economia</t>
  </si>
  <si>
    <t>LAASBCS ART 51 y ART 53 FRACC I</t>
  </si>
  <si>
    <t>consolidación</t>
  </si>
  <si>
    <t>Invitación a cuando menos tres</t>
  </si>
  <si>
    <t>LAASBCS ART51 y ART 53 FRACC II</t>
  </si>
  <si>
    <t>K006</t>
  </si>
  <si>
    <t>Dirección de Planeación Turistica</t>
  </si>
  <si>
    <t>P0051</t>
  </si>
  <si>
    <t>Oficina del Subsecretario de Economia</t>
  </si>
  <si>
    <t>2 de abril de 2025</t>
  </si>
  <si>
    <t>G0041</t>
  </si>
  <si>
    <t>Dirección de Regulación de Agentes Inmobiliarios</t>
  </si>
  <si>
    <t>Ropa, vestuario y equipo</t>
  </si>
  <si>
    <t>Servicio postal y telegráfico</t>
  </si>
  <si>
    <t>Arrendamiento de maquinaria y equipo</t>
  </si>
  <si>
    <t>M001</t>
  </si>
  <si>
    <t>Subsecretaría de Finanzas</t>
  </si>
  <si>
    <t>}</t>
  </si>
  <si>
    <t>Servicios de telecomunicaciones y satélites</t>
  </si>
  <si>
    <t>Jefatura de la Oficina del Ejecutivo</t>
  </si>
  <si>
    <t>Subsecretaría de Finanzas 2025</t>
  </si>
  <si>
    <t>Material y productos químicos, farmacéuticos</t>
  </si>
  <si>
    <t>Cuotas e inscripciones</t>
  </si>
  <si>
    <t>Dispositivo de seguridad pública</t>
  </si>
  <si>
    <t>Fletes, maniobras y almacenaje</t>
  </si>
  <si>
    <t>Gastos de instalación</t>
  </si>
  <si>
    <t>Rotulaciones oficiales</t>
  </si>
  <si>
    <t>Diligencias judiciales</t>
  </si>
  <si>
    <t>Impuestos y derechos</t>
  </si>
  <si>
    <t>Gastos menores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</si>
</sst>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00000"/>
    <numFmt numFmtId="165" formatCode="0000"/>
    <numFmt numFmtId="166" formatCode="_-&quot;$&quot;* #,##0.00_-;\-&quot;$&quot;* #,##0.00_-;_-&quot;$&quot;* &quot;-&quot;??_-;_-@_-"/>
    <numFmt numFmtId="167" formatCode="[$-580A]d&quot; de &quot;mmmm&quot; de &quot;yyyy;@"/>
    <numFmt numFmtId="168" formatCode="dd/mm/yyyy;@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Arial"/>
      <family val="2"/>
    </font>
    <font>
      <sz val="10"/>
      <color theme="1"/>
      <name val="Arial"/>
      <family val="2"/>
    </font>
    <font>
      <b/>
      <sz val="18"/>
      <color rgb="FFFF0000"/>
      <name val="Arial"/>
      <family val="2"/>
    </font>
    <font>
      <sz val="10"/>
      <name val="Arial"/>
      <family val="2"/>
    </font>
    <font>
      <sz val="6"/>
      <color theme="1"/>
      <name val="Arial"/>
      <family val="2"/>
    </font>
    <font>
      <sz val="8"/>
      <color theme="1"/>
      <name val="Arial"/>
      <family val="2"/>
    </font>
    <font>
      <sz val="7"/>
      <name val="Arial"/>
      <family val="2"/>
    </font>
    <font>
      <sz val="8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6"/>
      <color theme="1"/>
      <name val="Arial"/>
    </font>
    <font>
      <sz val="7"/>
      <name val="Arial"/>
    </font>
    <font>
      <sz val="8"/>
      <name val="Arial"/>
    </font>
    <font>
      <sz val="10"/>
      <name val="Arial"/>
    </font>
    <font>
      <b/>
      <sz val="18"/>
      <name val="Arial"/>
      <family val="2"/>
    </font>
    <font>
      <sz val="10"/>
      <color theme="1"/>
      <name val="Arial"/>
    </font>
    <font>
      <sz val="8"/>
      <color theme="1"/>
      <name val="Arial"/>
    </font>
    <font>
      <b/>
      <sz val="10"/>
      <color theme="1"/>
      <name val="Arial"/>
    </font>
    <font>
      <sz val="11"/>
      <color theme="1"/>
      <name val="Calibri"/>
      <scheme val="minor"/>
    </font>
    <font>
      <sz val="10"/>
      <color rgb="FF000000"/>
      <name val="Times New Roman"/>
      <charset val="204"/>
    </font>
    <font>
      <sz val="9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9"/>
      <color theme="1"/>
      <name val="Arial"/>
      <family val="2"/>
    </font>
    <font>
      <b/>
      <sz val="18"/>
      <color rgb="FFC00000"/>
      <name val="Arial"/>
      <family val="2"/>
    </font>
    <font>
      <sz val="10"/>
      <color theme="0"/>
      <name val="Arial"/>
      <family val="2"/>
    </font>
    <font>
      <sz val="6"/>
      <name val="Arial"/>
      <family val="2"/>
    </font>
    <font>
      <sz val="8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5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820000"/>
        <bgColor indexed="64"/>
      </patternFill>
    </fill>
    <fill>
      <patternFill patternType="solid">
        <fgColor theme="0" tint="-0.14999847407452621"/>
        <bgColor theme="0" tint="-0.14999847407452621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8">
    <xf numFmtId="0" fontId="0" fillId="0" borderId="0"/>
    <xf numFmtId="0" fontId="2" fillId="2" borderId="0" applyNumberFormat="0" applyBorder="0" applyAlignment="0" applyProtection="0"/>
    <xf numFmtId="166" fontId="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2" fillId="0" borderId="0"/>
    <xf numFmtId="43" fontId="1" fillId="0" borderId="0" applyFont="0" applyFill="0" applyBorder="0" applyAlignment="0" applyProtection="0"/>
  </cellStyleXfs>
  <cellXfs count="119">
    <xf numFmtId="0" fontId="0" fillId="0" borderId="0" xfId="0"/>
    <xf numFmtId="0" fontId="4" fillId="0" borderId="0" xfId="0" applyFont="1"/>
    <xf numFmtId="0" fontId="6" fillId="0" borderId="0" xfId="0" applyFont="1"/>
    <xf numFmtId="164" fontId="4" fillId="0" borderId="0" xfId="0" applyNumberFormat="1" applyFont="1" applyAlignment="1" applyProtection="1">
      <alignment horizontal="center" vertical="center" wrapText="1"/>
      <protection locked="0"/>
    </xf>
    <xf numFmtId="165" fontId="4" fillId="0" borderId="0" xfId="0" applyNumberFormat="1" applyFont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9" fillId="0" borderId="0" xfId="0" applyFont="1" applyAlignment="1">
      <alignment horizontal="center" vertical="center" wrapText="1"/>
    </xf>
    <xf numFmtId="166" fontId="10" fillId="0" borderId="0" xfId="0" applyNumberFormat="1" applyFont="1" applyAlignment="1" applyProtection="1">
      <alignment horizontal="center" vertical="center" wrapText="1"/>
      <protection locked="0"/>
    </xf>
    <xf numFmtId="166" fontId="6" fillId="0" borderId="0" xfId="0" applyNumberFormat="1" applyFont="1" applyAlignment="1">
      <alignment horizontal="center" vertical="center" wrapText="1"/>
    </xf>
    <xf numFmtId="166" fontId="6" fillId="0" borderId="0" xfId="0" applyNumberFormat="1" applyFont="1" applyAlignment="1" applyProtection="1">
      <alignment horizontal="center" vertical="center" wrapText="1"/>
      <protection locked="0"/>
    </xf>
    <xf numFmtId="167" fontId="6" fillId="0" borderId="0" xfId="0" applyNumberFormat="1" applyFont="1" applyAlignment="1" applyProtection="1">
      <alignment horizontal="center" vertical="center" wrapText="1"/>
      <protection locked="0"/>
    </xf>
    <xf numFmtId="0" fontId="4" fillId="0" borderId="0" xfId="0" applyFont="1" applyProtection="1">
      <protection locked="0"/>
    </xf>
    <xf numFmtId="0" fontId="7" fillId="0" borderId="0" xfId="0" applyFont="1"/>
    <xf numFmtId="0" fontId="11" fillId="0" borderId="0" xfId="0" applyFont="1" applyAlignment="1">
      <alignment horizontal="center" vertical="center" wrapText="1"/>
    </xf>
    <xf numFmtId="166" fontId="11" fillId="0" borderId="0" xfId="0" applyNumberFormat="1" applyFont="1" applyAlignment="1" applyProtection="1">
      <alignment horizontal="center" vertical="center" wrapText="1"/>
      <protection locked="0"/>
    </xf>
    <xf numFmtId="166" fontId="11" fillId="0" borderId="0" xfId="0" applyNumberFormat="1" applyFont="1" applyAlignment="1">
      <alignment horizontal="center" vertical="center"/>
    </xf>
    <xf numFmtId="166" fontId="11" fillId="0" borderId="0" xfId="0" applyNumberFormat="1" applyFont="1" applyAlignment="1" applyProtection="1">
      <alignment horizontal="center" vertical="center"/>
      <protection locked="0"/>
    </xf>
    <xf numFmtId="164" fontId="8" fillId="0" borderId="0" xfId="0" applyNumberFormat="1" applyFont="1" applyAlignment="1" applyProtection="1">
      <alignment horizontal="center" vertical="center" wrapText="1"/>
      <protection locked="0"/>
    </xf>
    <xf numFmtId="165" fontId="8" fillId="0" borderId="0" xfId="0" applyNumberFormat="1" applyFont="1" applyAlignment="1" applyProtection="1">
      <alignment horizontal="center" vertical="center" wrapText="1"/>
      <protection locked="0"/>
    </xf>
    <xf numFmtId="167" fontId="10" fillId="0" borderId="0" xfId="0" applyNumberFormat="1" applyFont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center" vertical="center" wrapText="1"/>
      <protection locked="0"/>
    </xf>
    <xf numFmtId="0" fontId="13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166" fontId="15" fillId="0" borderId="0" xfId="0" applyNumberFormat="1" applyFont="1" applyAlignment="1" applyProtection="1">
      <alignment horizontal="center" vertical="center" wrapText="1"/>
      <protection locked="0"/>
    </xf>
    <xf numFmtId="166" fontId="16" fillId="0" borderId="0" xfId="0" applyNumberFormat="1" applyFont="1" applyAlignment="1">
      <alignment horizontal="center" vertical="center" wrapText="1"/>
    </xf>
    <xf numFmtId="0" fontId="16" fillId="0" borderId="0" xfId="0" applyFont="1" applyAlignment="1" applyProtection="1">
      <alignment horizontal="center" vertical="center" wrapText="1"/>
      <protection locked="0"/>
    </xf>
    <xf numFmtId="166" fontId="4" fillId="0" borderId="0" xfId="2" applyFont="1"/>
    <xf numFmtId="164" fontId="18" fillId="0" borderId="0" xfId="0" applyNumberFormat="1" applyFont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horizontal="center" vertical="center" wrapText="1"/>
      <protection locked="0"/>
    </xf>
    <xf numFmtId="0" fontId="19" fillId="0" borderId="0" xfId="0" applyFont="1" applyAlignment="1" applyProtection="1">
      <alignment horizontal="center" vertical="center" wrapText="1"/>
      <protection locked="0"/>
    </xf>
    <xf numFmtId="166" fontId="16" fillId="0" borderId="0" xfId="0" applyNumberFormat="1" applyFont="1" applyAlignment="1" applyProtection="1">
      <alignment horizontal="center" vertical="center" wrapText="1"/>
      <protection locked="0"/>
    </xf>
    <xf numFmtId="165" fontId="18" fillId="0" borderId="0" xfId="0" applyNumberFormat="1" applyFont="1" applyAlignment="1" applyProtection="1">
      <alignment horizontal="center" vertical="center" wrapText="1"/>
      <protection locked="0"/>
    </xf>
    <xf numFmtId="0" fontId="18" fillId="0" borderId="0" xfId="0" applyFont="1" applyProtection="1">
      <protection locked="0"/>
    </xf>
    <xf numFmtId="0" fontId="13" fillId="0" borderId="0" xfId="0" applyFont="1"/>
    <xf numFmtId="0" fontId="20" fillId="0" borderId="0" xfId="0" applyFont="1" applyAlignment="1">
      <alignment horizontal="center" vertical="center" wrapText="1"/>
    </xf>
    <xf numFmtId="166" fontId="20" fillId="0" borderId="0" xfId="0" applyNumberFormat="1" applyFont="1" applyAlignment="1" applyProtection="1">
      <alignment horizontal="center" vertical="center" wrapText="1"/>
      <protection locked="0"/>
    </xf>
    <xf numFmtId="166" fontId="20" fillId="0" borderId="0" xfId="0" applyNumberFormat="1" applyFont="1" applyAlignment="1">
      <alignment horizontal="center" vertical="center"/>
    </xf>
    <xf numFmtId="166" fontId="20" fillId="0" borderId="0" xfId="0" applyNumberFormat="1" applyFont="1" applyAlignment="1" applyProtection="1">
      <alignment horizontal="center" vertical="center"/>
      <protection locked="0"/>
    </xf>
    <xf numFmtId="166" fontId="23" fillId="0" borderId="0" xfId="0" applyNumberFormat="1" applyFont="1" applyAlignment="1">
      <alignment horizontal="center" vertical="center" wrapText="1"/>
    </xf>
    <xf numFmtId="17" fontId="6" fillId="0" borderId="0" xfId="0" applyNumberFormat="1" applyFont="1" applyAlignment="1" applyProtection="1">
      <alignment horizontal="center" vertical="center" wrapText="1"/>
      <protection locked="0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6" fillId="0" borderId="0" xfId="0" applyFont="1" applyAlignment="1" applyProtection="1">
      <alignment horizontal="center" vertical="center" wrapText="1"/>
      <protection locked="0"/>
    </xf>
    <xf numFmtId="166" fontId="4" fillId="0" borderId="0" xfId="0" applyNumberFormat="1" applyFont="1"/>
    <xf numFmtId="0" fontId="4" fillId="0" borderId="0" xfId="0" applyFont="1" applyAlignment="1">
      <alignment horizontal="center"/>
    </xf>
    <xf numFmtId="0" fontId="26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164" fontId="4" fillId="0" borderId="0" xfId="0" applyNumberFormat="1" applyFont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166" fontId="4" fillId="0" borderId="0" xfId="0" applyNumberFormat="1" applyFont="1" applyAlignment="1">
      <alignment vertical="center"/>
    </xf>
    <xf numFmtId="167" fontId="4" fillId="0" borderId="0" xfId="0" applyNumberFormat="1" applyFont="1" applyAlignment="1">
      <alignment vertical="center"/>
    </xf>
    <xf numFmtId="49" fontId="4" fillId="0" borderId="0" xfId="0" applyNumberFormat="1" applyFont="1" applyAlignment="1" applyProtection="1">
      <alignment horizontal="center" vertical="center" wrapText="1"/>
      <protection locked="0"/>
    </xf>
    <xf numFmtId="166" fontId="10" fillId="4" borderId="0" xfId="0" applyNumberFormat="1" applyFont="1" applyFill="1" applyAlignment="1" applyProtection="1">
      <alignment horizontal="center" vertical="center" wrapText="1"/>
      <protection locked="0"/>
    </xf>
    <xf numFmtId="15" fontId="16" fillId="0" borderId="0" xfId="0" applyNumberFormat="1" applyFont="1" applyAlignment="1" applyProtection="1">
      <alignment horizontal="center" vertical="center" wrapText="1"/>
      <protection locked="0"/>
    </xf>
    <xf numFmtId="168" fontId="16" fillId="0" borderId="0" xfId="0" applyNumberFormat="1" applyFont="1" applyAlignment="1" applyProtection="1">
      <alignment horizontal="center" vertical="center" wrapText="1"/>
      <protection locked="0"/>
    </xf>
    <xf numFmtId="14" fontId="16" fillId="0" borderId="0" xfId="0" applyNumberFormat="1" applyFont="1" applyAlignment="1" applyProtection="1">
      <alignment horizontal="center" vertical="center" wrapText="1"/>
      <protection locked="0"/>
    </xf>
    <xf numFmtId="15" fontId="6" fillId="0" borderId="0" xfId="0" applyNumberFormat="1" applyFont="1" applyAlignment="1" applyProtection="1">
      <alignment horizontal="center" vertical="center" wrapText="1"/>
      <protection locked="0"/>
    </xf>
    <xf numFmtId="164" fontId="4" fillId="3" borderId="0" xfId="0" applyNumberFormat="1" applyFont="1" applyFill="1" applyAlignment="1" applyProtection="1">
      <alignment horizontal="center" vertical="center" wrapText="1"/>
      <protection locked="0"/>
    </xf>
    <xf numFmtId="165" fontId="4" fillId="3" borderId="0" xfId="0" applyNumberFormat="1" applyFont="1" applyFill="1" applyAlignment="1" applyProtection="1">
      <alignment horizontal="center" vertical="center" wrapText="1"/>
      <protection locked="0"/>
    </xf>
    <xf numFmtId="0" fontId="4" fillId="3" borderId="0" xfId="0" applyFont="1" applyFill="1" applyAlignment="1" applyProtection="1">
      <alignment horizontal="center" vertical="center" wrapText="1"/>
      <protection locked="0"/>
    </xf>
    <xf numFmtId="0" fontId="8" fillId="3" borderId="0" xfId="0" applyFont="1" applyFill="1" applyAlignment="1" applyProtection="1">
      <alignment horizontal="center" vertical="center" wrapText="1"/>
      <protection locked="0"/>
    </xf>
    <xf numFmtId="0" fontId="6" fillId="3" borderId="0" xfId="0" applyFont="1" applyFill="1" applyAlignment="1" applyProtection="1">
      <alignment horizontal="center" vertical="center" wrapText="1"/>
      <protection locked="0"/>
    </xf>
    <xf numFmtId="166" fontId="6" fillId="3" borderId="0" xfId="0" applyNumberFormat="1" applyFont="1" applyFill="1" applyAlignment="1" applyProtection="1">
      <alignment horizontal="center" vertical="center" wrapText="1"/>
      <protection locked="0"/>
    </xf>
    <xf numFmtId="17" fontId="6" fillId="3" borderId="0" xfId="0" applyNumberFormat="1" applyFont="1" applyFill="1" applyAlignment="1" applyProtection="1">
      <alignment horizontal="center" vertical="center" wrapText="1"/>
      <protection locked="0"/>
    </xf>
    <xf numFmtId="0" fontId="4" fillId="3" borderId="0" xfId="0" applyFont="1" applyFill="1"/>
    <xf numFmtId="0" fontId="2" fillId="5" borderId="0" xfId="1" applyFill="1" applyAlignment="1">
      <alignment horizontal="center" vertical="center" wrapText="1"/>
    </xf>
    <xf numFmtId="0" fontId="6" fillId="6" borderId="0" xfId="0" applyFont="1" applyFill="1" applyAlignment="1">
      <alignment horizontal="center" vertical="center" wrapText="1"/>
    </xf>
    <xf numFmtId="167" fontId="6" fillId="0" borderId="0" xfId="0" applyNumberFormat="1" applyFont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166" fontId="6" fillId="3" borderId="0" xfId="0" applyNumberFormat="1" applyFont="1" applyFill="1" applyAlignment="1">
      <alignment horizontal="center" vertical="center" wrapText="1"/>
    </xf>
    <xf numFmtId="0" fontId="6" fillId="3" borderId="0" xfId="0" applyFont="1" applyFill="1" applyAlignment="1">
      <alignment horizontal="center" vertical="center" wrapText="1"/>
    </xf>
    <xf numFmtId="0" fontId="6" fillId="4" borderId="0" xfId="0" applyFont="1" applyFill="1" applyAlignment="1" applyProtection="1">
      <alignment horizontal="center" vertical="center" wrapText="1"/>
      <protection locked="0"/>
    </xf>
    <xf numFmtId="43" fontId="4" fillId="0" borderId="0" xfId="0" applyNumberFormat="1" applyFont="1"/>
    <xf numFmtId="0" fontId="4" fillId="0" borderId="0" xfId="0" applyFont="1" applyAlignment="1">
      <alignment horizontal="center" vertical="center" wrapText="1"/>
    </xf>
    <xf numFmtId="166" fontId="4" fillId="0" borderId="0" xfId="2" applyFont="1" applyAlignment="1">
      <alignment vertical="center"/>
    </xf>
    <xf numFmtId="14" fontId="6" fillId="0" borderId="0" xfId="0" applyNumberFormat="1" applyFont="1" applyAlignment="1" applyProtection="1">
      <alignment horizontal="center" vertical="center" wrapText="1"/>
      <protection locked="0"/>
    </xf>
    <xf numFmtId="166" fontId="28" fillId="0" borderId="0" xfId="0" applyNumberFormat="1" applyFont="1"/>
    <xf numFmtId="0" fontId="28" fillId="0" borderId="0" xfId="0" applyFont="1"/>
    <xf numFmtId="0" fontId="0" fillId="0" borderId="0" xfId="0" applyAlignment="1">
      <alignment horizontal="center" vertical="center"/>
    </xf>
    <xf numFmtId="0" fontId="9" fillId="3" borderId="0" xfId="0" applyFont="1" applyFill="1" applyAlignment="1">
      <alignment horizontal="center" vertical="center" wrapText="1"/>
    </xf>
    <xf numFmtId="166" fontId="8" fillId="0" borderId="0" xfId="0" applyNumberFormat="1" applyFont="1" applyAlignment="1" applyProtection="1">
      <alignment horizontal="center" vertical="center" wrapText="1"/>
      <protection locked="0"/>
    </xf>
    <xf numFmtId="0" fontId="9" fillId="4" borderId="0" xfId="0" applyFont="1" applyFill="1" applyAlignment="1">
      <alignment horizontal="center" vertical="center" wrapText="1"/>
    </xf>
    <xf numFmtId="166" fontId="10" fillId="3" borderId="0" xfId="0" applyNumberFormat="1" applyFont="1" applyFill="1" applyAlignment="1" applyProtection="1">
      <alignment horizontal="center" vertical="center" wrapText="1"/>
      <protection locked="0"/>
    </xf>
    <xf numFmtId="164" fontId="6" fillId="0" borderId="0" xfId="0" applyNumberFormat="1" applyFont="1" applyAlignment="1" applyProtection="1">
      <alignment horizontal="center" vertical="center" wrapText="1"/>
      <protection locked="0"/>
    </xf>
    <xf numFmtId="165" fontId="6" fillId="0" borderId="0" xfId="0" applyNumberFormat="1" applyFont="1" applyAlignment="1" applyProtection="1">
      <alignment horizontal="center" vertical="center" wrapText="1"/>
      <protection locked="0"/>
    </xf>
    <xf numFmtId="0" fontId="29" fillId="0" borderId="0" xfId="0" applyFont="1" applyAlignment="1">
      <alignment horizontal="center" vertical="center" wrapText="1"/>
    </xf>
    <xf numFmtId="166" fontId="30" fillId="0" borderId="0" xfId="0" applyNumberFormat="1" applyFont="1"/>
    <xf numFmtId="43" fontId="0" fillId="0" borderId="0" xfId="7" applyFont="1"/>
    <xf numFmtId="166" fontId="8" fillId="0" borderId="0" xfId="0" applyNumberFormat="1" applyFont="1"/>
    <xf numFmtId="49" fontId="18" fillId="3" borderId="1" xfId="0" applyNumberFormat="1" applyFont="1" applyFill="1" applyBorder="1" applyAlignment="1" applyProtection="1">
      <alignment horizontal="center" vertical="center" wrapText="1"/>
      <protection locked="0"/>
    </xf>
    <xf numFmtId="165" fontId="18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18" fillId="3" borderId="1" xfId="0" applyFont="1" applyFill="1" applyBorder="1" applyAlignment="1" applyProtection="1">
      <alignment horizontal="center" vertical="center" wrapText="1"/>
      <protection locked="0"/>
    </xf>
    <xf numFmtId="0" fontId="18" fillId="3" borderId="1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 applyProtection="1">
      <alignment horizontal="center" vertical="center" wrapText="1"/>
      <protection locked="0"/>
    </xf>
    <xf numFmtId="0" fontId="16" fillId="3" borderId="1" xfId="0" applyFont="1" applyFill="1" applyBorder="1" applyAlignment="1">
      <alignment horizontal="center" vertical="center" wrapText="1"/>
    </xf>
    <xf numFmtId="166" fontId="16" fillId="3" borderId="1" xfId="0" applyNumberFormat="1" applyFont="1" applyFill="1" applyBorder="1" applyAlignment="1" applyProtection="1">
      <alignment horizontal="center" vertical="center" wrapText="1"/>
      <protection locked="0"/>
    </xf>
    <xf numFmtId="166" fontId="12" fillId="3" borderId="1" xfId="0" applyNumberFormat="1" applyFont="1" applyFill="1" applyBorder="1" applyAlignment="1" applyProtection="1">
      <alignment horizontal="center" vertical="center" wrapText="1"/>
      <protection locked="0"/>
    </xf>
    <xf numFmtId="166" fontId="12" fillId="3" borderId="1" xfId="0" applyNumberFormat="1" applyFont="1" applyFill="1" applyBorder="1" applyAlignment="1">
      <alignment horizontal="center" vertical="center" wrapText="1"/>
    </xf>
    <xf numFmtId="165" fontId="4" fillId="3" borderId="0" xfId="0" applyNumberFormat="1" applyFont="1" applyFill="1" applyAlignment="1" applyProtection="1">
      <alignment horizontal="center" vertical="center"/>
      <protection locked="0"/>
    </xf>
    <xf numFmtId="0" fontId="4" fillId="3" borderId="0" xfId="0" applyFont="1" applyFill="1" applyAlignment="1" applyProtection="1">
      <alignment horizontal="center" vertical="center"/>
      <protection locked="0"/>
    </xf>
    <xf numFmtId="0" fontId="4" fillId="0" borderId="1" xfId="0" applyFont="1" applyBorder="1"/>
    <xf numFmtId="0" fontId="26" fillId="3" borderId="0" xfId="0" applyFont="1" applyFill="1" applyAlignment="1" applyProtection="1">
      <alignment horizontal="center" vertical="center" wrapText="1"/>
      <protection locked="0"/>
    </xf>
    <xf numFmtId="167" fontId="6" fillId="3" borderId="0" xfId="0" applyNumberFormat="1" applyFont="1" applyFill="1" applyAlignment="1" applyProtection="1">
      <alignment horizontal="center" vertical="center" wrapText="1"/>
      <protection locked="0"/>
    </xf>
    <xf numFmtId="0" fontId="3" fillId="0" borderId="0" xfId="0" applyFont="1" applyAlignment="1">
      <alignment vertical="center"/>
    </xf>
    <xf numFmtId="0" fontId="5" fillId="0" borderId="0" xfId="0" applyFont="1" applyAlignment="1" applyProtection="1">
      <alignment vertical="center"/>
      <protection locked="0"/>
    </xf>
    <xf numFmtId="0" fontId="3" fillId="0" borderId="0" xfId="0" applyFont="1" applyAlignment="1">
      <alignment vertical="top"/>
    </xf>
    <xf numFmtId="166" fontId="6" fillId="0" borderId="0" xfId="0" applyNumberFormat="1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5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top"/>
    </xf>
    <xf numFmtId="0" fontId="17" fillId="0" borderId="0" xfId="0" applyFont="1" applyAlignment="1" applyProtection="1">
      <alignment horizontal="center" vertical="center"/>
      <protection locked="0"/>
    </xf>
  </cellXfs>
  <cellStyles count="8">
    <cellStyle name="Énfasis2" xfId="1" builtinId="33"/>
    <cellStyle name="Millares" xfId="7" builtinId="3"/>
    <cellStyle name="Moneda 2" xfId="2" xr:uid="{3B53450C-C388-4351-A651-B7D5CF677D34}"/>
    <cellStyle name="Normal" xfId="0" builtinId="0"/>
    <cellStyle name="Normal 2" xfId="3" xr:uid="{710A9898-46AE-44B3-BB19-3C6360A99D8B}"/>
    <cellStyle name="Normal 3" xfId="4" xr:uid="{CFCC4AAC-8D4C-4E37-8FF7-7908D66DF1BB}"/>
    <cellStyle name="Normal 4" xfId="5" xr:uid="{711E9CB3-8219-4382-9B20-9D3CCA8ED030}"/>
    <cellStyle name="Normal 5" xfId="6" xr:uid="{197FC4B7-FC53-40F4-9593-5053663BAC68}"/>
  </cellStyles>
  <dxfs count="53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7" formatCode="[$-580A]d&quot; de &quot;mmmm&quot; de &quot;yyyy;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22" formatCode="mmm\-yy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6" formatCode="_-&quot;$&quot;* #,##0.00_-;\-&quot;$&quot;* #,##0.00_-;_-&quot;$&quot;* &quot;-&quot;??_-;_-@_-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_-&quot;$&quot;* #,##0.00_-;\-&quot;$&quot;* #,##0.00_-;_-&quot;$&quot;* &quot;-&quot;??_-;_-@_-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6" formatCode="_-&quot;$&quot;* #,##0.00_-;\-&quot;$&quot;* #,##0.00_-;_-&quot;$&quot;* &quot;-&quot;??_-;_-@_-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166" formatCode="_-&quot;$&quot;* #,##0.00_-;\-&quot;$&quot;* #,##0.00_-;_-&quot;$&quot;* &quot;-&quot;??_-;_-@_-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6" formatCode="_-&quot;$&quot;* #,##0.00_-;\-&quot;$&quot;* #,##0.00_-;_-&quot;$&quot;* &quot;-&quot;??_-;_-@_-"/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66" formatCode="_-&quot;$&quot;* #,##0.00_-;\-&quot;$&quot;* #,##0.00_-;_-&quot;$&quot;* &quot;-&quot;??_-;_-@_-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6" formatCode="_-&quot;$&quot;* #,##0.00_-;\-&quot;$&quot;* #,##0.00_-;_-&quot;$&quot;* &quot;-&quot;??_-;_-@_-"/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66" formatCode="_-&quot;$&quot;* #,##0.00_-;\-&quot;$&quot;* #,##0.00_-;_-&quot;$&quot;* &quot;-&quot;??_-;_-@_-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6" formatCode="_-&quot;$&quot;* #,##0.00_-;\-&quot;$&quot;* #,##0.00_-;_-&quot;$&quot;* &quot;-&quot;??_-;_-@_-"/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66" formatCode="_-&quot;$&quot;* #,##0.00_-;\-&quot;$&quot;* #,##0.00_-;_-&quot;$&quot;* &quot;-&quot;??_-;_-@_-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6" formatCode="_-&quot;$&quot;* #,##0.00_-;\-&quot;$&quot;* #,##0.00_-;_-&quot;$&quot;* &quot;-&quot;??_-;_-@_-"/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66" formatCode="_-&quot;$&quot;* #,##0.00_-;\-&quot;$&quot;* #,##0.00_-;_-&quot;$&quot;* &quot;-&quot;??_-;_-@_-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protection locked="0" hidden="0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6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6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protection locked="0" hidden="0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protection locked="0" hidden="0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numFmt numFmtId="165" formatCode="00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protection locked="0" hidden="0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numFmt numFmtId="164" formatCode="000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6" formatCode="_-&quot;$&quot;* #,##0.00_-;\-&quot;$&quot;* #,##0.00_-;_-&quot;$&quot;* &quot;-&quot;??_-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protection locked="0" hidden="0"/>
    </dxf>
    <dxf>
      <fill>
        <patternFill patternType="solid">
          <fgColor indexed="64"/>
          <bgColor rgb="FF82000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0" formatCode="General"/>
      <fill>
        <patternFill patternType="none">
          <fgColor indexed="64"/>
          <bgColor theme="0"/>
        </patternFill>
      </fill>
      <alignment horizontal="center" vertical="center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6" formatCode="_-&quot;$&quot;* #,##0.00_-;\-&quot;$&quot;* #,##0.00_-;_-&quot;$&quot;* &quot;-&quot;??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6" formatCode="_-&quot;$&quot;* #,##0.00_-;\-&quot;$&quot;* #,##0.00_-;_-&quot;$&quot;* &quot;-&quot;??_-;_-@_-"/>
      <fill>
        <patternFill patternType="none">
          <fgColor indexed="64"/>
          <bgColor theme="0"/>
        </patternFill>
      </fill>
      <alignment horizontal="center" vertical="center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6" formatCode="_-&quot;$&quot;* #,##0.00_-;\-&quot;$&quot;* #,##0.00_-;_-&quot;$&quot;* &quot;-&quot;??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6" formatCode="_-&quot;$&quot;* #,##0.00_-;\-&quot;$&quot;* #,##0.00_-;_-&quot;$&quot;* &quot;-&quot;??_-;_-@_-"/>
      <fill>
        <patternFill patternType="none">
          <fgColor indexed="64"/>
          <bgColor theme="0"/>
        </patternFill>
      </fill>
      <alignment horizontal="center" vertical="center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6" formatCode="_-&quot;$&quot;* #,##0.00_-;\-&quot;$&quot;* #,##0.00_-;_-&quot;$&quot;* &quot;-&quot;??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9" formatCode="&quot;$&quot;#,##0.00"/>
      <fill>
        <patternFill patternType="none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6" formatCode="_-&quot;$&quot;* #,##0.00_-;\-&quot;$&quot;* #,##0.00_-;_-&quot;$&quot;* &quot;-&quot;??_-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9" formatCode="&quot;$&quot;#,##0.00"/>
      <fill>
        <patternFill patternType="none">
          <fgColor indexed="64"/>
          <bgColor theme="0"/>
        </patternFill>
      </fill>
      <alignment horizontal="center" vertical="center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6" formatCode="_-&quot;$&quot;* #,##0.00_-;\-&quot;$&quot;* #,##0.00_-;_-&quot;$&quot;* &quot;-&quot;??_-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9" formatCode="&quot;$&quot;#,##0.00"/>
      <fill>
        <patternFill patternType="none">
          <fgColor indexed="64"/>
          <bgColor theme="0"/>
        </patternFill>
      </fill>
      <alignment horizontal="center" vertical="center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6" formatCode="_-&quot;$&quot;* #,##0.00_-;\-&quot;$&quot;* #,##0.00_-;_-&quot;$&quot;* &quot;-&quot;??_-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9" formatCode="&quot;$&quot;#,##0.00"/>
      <fill>
        <patternFill patternType="none">
          <fgColor indexed="64"/>
          <bgColor theme="0"/>
        </patternFill>
      </fill>
      <alignment horizontal="center" vertical="center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6" formatCode="_-&quot;$&quot;* #,##0.00_-;\-&quot;$&quot;* #,##0.00_-;_-&quot;$&quot;* &quot;-&quot;??_-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9" formatCode="&quot;$&quot;#,##0.00"/>
      <fill>
        <patternFill patternType="none">
          <fgColor indexed="64"/>
          <bgColor theme="0"/>
        </patternFill>
      </fill>
      <alignment horizontal="center" vertical="center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0" formatCode="General"/>
      <fill>
        <patternFill patternType="none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protection locked="0" hidden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6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protection locked="0" hidden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protection locked="0" hidden="0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numFmt numFmtId="165" formatCode="0000"/>
      <fill>
        <patternFill patternType="none">
          <fgColor indexed="64"/>
          <bgColor theme="0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protection locked="0" hidden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1" indent="0" justifyLastLine="0" shrinkToFit="0" readingOrder="0"/>
      <protection locked="0" hidden="0"/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6" formatCode="_-&quot;$&quot;* #,##0.00_-;\-&quot;$&quot;* #,##0.00_-;_-&quot;$&quot;* &quot;-&quot;??_-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rgb="FF82000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6" formatCode="_-&quot;$&quot;* #,##0.00_-;\-&quot;$&quot;* #,##0.00_-;_-&quot;$&quot;* &quot;-&quot;??_-;_-@_-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6" formatCode="_-&quot;$&quot;* #,##0.00_-;\-&quot;$&quot;* #,##0.00_-;_-&quot;$&quot;* &quot;-&quot;??_-;_-@_-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6" formatCode="_-&quot;$&quot;* #,##0.00_-;\-&quot;$&quot;* #,##0.00_-;_-&quot;$&quot;* &quot;-&quot;??_-;_-@_-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6" formatCode="_-&quot;$&quot;* #,##0.00_-;\-&quot;$&quot;* #,##0.00_-;_-&quot;$&quot;* &quot;-&quot;??_-;_-@_-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6" formatCode="_-&quot;$&quot;* #,##0.00_-;\-&quot;$&quot;* #,##0.00_-;_-&quot;$&quot;* &quot;-&quot;??_-;_-@_-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6" formatCode="_-&quot;$&quot;* #,##0.00_-;\-&quot;$&quot;* #,##0.00_-;_-&quot;$&quot;* &quot;-&quot;??_-;_-@_-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6" formatCode="_-&quot;$&quot;* #,##0.00_-;\-&quot;$&quot;* #,##0.00_-;_-&quot;$&quot;* &quot;-&quot;??_-;_-@_-"/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_-&quot;$&quot;* #,##0.00_-;\-&quot;$&quot;* #,##0.00_-;_-&quot;$&quot;* &quot;-&quot;??_-;_-@_-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6" formatCode="_-&quot;$&quot;* #,##0.00_-;\-&quot;$&quot;* #,##0.00_-;_-&quot;$&quot;* &quot;-&quot;??_-;_-@_-"/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_-&quot;$&quot;* #,##0.00_-;\-&quot;$&quot;* #,##0.00_-;_-&quot;$&quot;* &quot;-&quot;??_-;_-@_-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6" formatCode="_-&quot;$&quot;* #,##0.00_-;\-&quot;$&quot;* #,##0.00_-;_-&quot;$&quot;* &quot;-&quot;??_-;_-@_-"/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_-&quot;$&quot;* #,##0.00_-;\-&quot;$&quot;* #,##0.00_-;_-&quot;$&quot;* &quot;-&quot;??_-;_-@_-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6" formatCode="_-&quot;$&quot;* #,##0.00_-;\-&quot;$&quot;* #,##0.00_-;_-&quot;$&quot;* &quot;-&quot;??_-;_-@_-"/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_-&quot;$&quot;* #,##0.00_-;\-&quot;$&quot;* #,##0.00_-;_-&quot;$&quot;* &quot;-&quot;??_-;_-@_-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protection locked="0" hidden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6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6"/>
        <color theme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protection locked="0" hidden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protection locked="0" hidden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numFmt numFmtId="165" formatCode="00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protection locked="0" hidden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6" formatCode="_-&quot;$&quot;* #,##0.00_-;\-&quot;$&quot;* #,##0.00_-;_-&quot;$&quot;* &quot;-&quot;??_-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rgb="FF82000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6" formatCode="_-&quot;$&quot;* #,##0.00_-;\-&quot;$&quot;* #,##0.00_-;_-&quot;$&quot;* &quot;-&quot;??_-;_-@_-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6" formatCode="_-&quot;$&quot;* #,##0.00_-;\-&quot;$&quot;* #,##0.00_-;_-&quot;$&quot;* &quot;-&quot;??_-;_-@_-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6" formatCode="_-&quot;$&quot;* #,##0.00_-;\-&quot;$&quot;* #,##0.00_-;_-&quot;$&quot;* &quot;-&quot;??_-;_-@_-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6" formatCode="_-&quot;$&quot;* #,##0.00_-;\-&quot;$&quot;* #,##0.00_-;_-&quot;$&quot;* &quot;-&quot;??_-;_-@_-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6" formatCode="_-&quot;$&quot;* #,##0.00_-;\-&quot;$&quot;* #,##0.00_-;_-&quot;$&quot;* &quot;-&quot;??_-;_-@_-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6" formatCode="_-&quot;$&quot;* #,##0.00_-;\-&quot;$&quot;* #,##0.00_-;_-&quot;$&quot;* &quot;-&quot;??_-;_-@_-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6" formatCode="_-&quot;$&quot;* #,##0.00_-;\-&quot;$&quot;* #,##0.00_-;_-&quot;$&quot;* &quot;-&quot;??_-;_-@_-"/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_-&quot;$&quot;* #,##0.00_-;\-&quot;$&quot;* #,##0.00_-;_-&quot;$&quot;* &quot;-&quot;??_-;_-@_-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6" formatCode="_-&quot;$&quot;* #,##0.00_-;\-&quot;$&quot;* #,##0.00_-;_-&quot;$&quot;* &quot;-&quot;??_-;_-@_-"/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_-&quot;$&quot;* #,##0.00_-;\-&quot;$&quot;* #,##0.00_-;_-&quot;$&quot;* &quot;-&quot;??_-;_-@_-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6" formatCode="_-&quot;$&quot;* #,##0.00_-;\-&quot;$&quot;* #,##0.00_-;_-&quot;$&quot;* &quot;-&quot;??_-;_-@_-"/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_-&quot;$&quot;* #,##0.00_-;\-&quot;$&quot;* #,##0.00_-;_-&quot;$&quot;* &quot;-&quot;??_-;_-@_-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6" formatCode="_-&quot;$&quot;* #,##0.00_-;\-&quot;$&quot;* #,##0.00_-;_-&quot;$&quot;* &quot;-&quot;??_-;_-@_-"/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_-&quot;$&quot;* #,##0.00_-;\-&quot;$&quot;* #,##0.00_-;_-&quot;$&quot;* &quot;-&quot;??_-;_-@_-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protection locked="0" hidden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6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6"/>
        <color theme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protection locked="0" hidden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protection locked="0" hidden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numFmt numFmtId="165" formatCode="00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protection locked="0" hidden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6" formatCode="_-&quot;$&quot;* #,##0.00_-;\-&quot;$&quot;* #,##0.00_-;_-&quot;$&quot;* &quot;-&quot;??_-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rgb="FF82000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6" formatCode="_-&quot;$&quot;* #,##0.00_-;\-&quot;$&quot;* #,##0.00_-;_-&quot;$&quot;* &quot;-&quot;??_-;_-@_-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70" formatCode="dd/mm/yyyy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6" formatCode="_-&quot;$&quot;* #,##0.00_-;\-&quot;$&quot;* #,##0.00_-;_-&quot;$&quot;* &quot;-&quot;??_-;_-@_-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6" formatCode="_-&quot;$&quot;* #,##0.00_-;\-&quot;$&quot;* #,##0.00_-;_-&quot;$&quot;* &quot;-&quot;??_-;_-@_-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6" formatCode="_-&quot;$&quot;* #,##0.00_-;\-&quot;$&quot;* #,##0.00_-;_-&quot;$&quot;* &quot;-&quot;??_-;_-@_-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6" formatCode="_-&quot;$&quot;* #,##0.00_-;\-&quot;$&quot;* #,##0.00_-;_-&quot;$&quot;* &quot;-&quot;??_-;_-@_-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6" formatCode="_-&quot;$&quot;* #,##0.00_-;\-&quot;$&quot;* #,##0.00_-;_-&quot;$&quot;* &quot;-&quot;??_-;_-@_-"/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_-&quot;$&quot;* #,##0.00_-;\-&quot;$&quot;* #,##0.00_-;_-&quot;$&quot;* &quot;-&quot;??_-;_-@_-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6" formatCode="_-&quot;$&quot;* #,##0.00_-;\-&quot;$&quot;* #,##0.00_-;_-&quot;$&quot;* &quot;-&quot;??_-;_-@_-"/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_-&quot;$&quot;* #,##0.00_-;\-&quot;$&quot;* #,##0.00_-;_-&quot;$&quot;* &quot;-&quot;??_-;_-@_-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6" formatCode="_-&quot;$&quot;* #,##0.00_-;\-&quot;$&quot;* #,##0.00_-;_-&quot;$&quot;* &quot;-&quot;??_-;_-@_-"/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_-&quot;$&quot;* #,##0.00_-;\-&quot;$&quot;* #,##0.00_-;_-&quot;$&quot;* &quot;-&quot;??_-;_-@_-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6" formatCode="_-&quot;$&quot;* #,##0.00_-;\-&quot;$&quot;* #,##0.00_-;_-&quot;$&quot;* &quot;-&quot;??_-;_-@_-"/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_-&quot;$&quot;* #,##0.00_-;\-&quot;$&quot;* #,##0.00_-;_-&quot;$&quot;* &quot;-&quot;??_-;_-@_-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protection locked="0" hidden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6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6"/>
        <color theme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protection locked="0" hidden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protection locked="0" hidden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numFmt numFmtId="165" formatCode="00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protection locked="0" hidden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6" formatCode="_-&quot;$&quot;* #,##0.00_-;\-&quot;$&quot;* #,##0.00_-;_-&quot;$&quot;* &quot;-&quot;??_-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rgb="FF82000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6" formatCode="_-&quot;$&quot;* #,##0.00_-;\-&quot;$&quot;* #,##0.00_-;_-&quot;$&quot;* &quot;-&quot;??_-;_-@_-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6" formatCode="_-&quot;$&quot;* #,##0.00_-;\-&quot;$&quot;* #,##0.00_-;_-&quot;$&quot;* &quot;-&quot;??_-;_-@_-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6" formatCode="_-&quot;$&quot;* #,##0.00_-;\-&quot;$&quot;* #,##0.00_-;_-&quot;$&quot;* &quot;-&quot;??_-;_-@_-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6" formatCode="_-&quot;$&quot;* #,##0.00_-;\-&quot;$&quot;* #,##0.00_-;_-&quot;$&quot;* &quot;-&quot;??_-;_-@_-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6" formatCode="_-&quot;$&quot;* #,##0.00_-;\-&quot;$&quot;* #,##0.00_-;_-&quot;$&quot;* &quot;-&quot;??_-;_-@_-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6" formatCode="_-&quot;$&quot;* #,##0.00_-;\-&quot;$&quot;* #,##0.00_-;_-&quot;$&quot;* &quot;-&quot;??_-;_-@_-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6" formatCode="_-&quot;$&quot;* #,##0.00_-;\-&quot;$&quot;* #,##0.00_-;_-&quot;$&quot;* &quot;-&quot;??_-;_-@_-"/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_-&quot;$&quot;* #,##0.00_-;\-&quot;$&quot;* #,##0.00_-;_-&quot;$&quot;* &quot;-&quot;??_-;_-@_-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6" formatCode="_-&quot;$&quot;* #,##0.00_-;\-&quot;$&quot;* #,##0.00_-;_-&quot;$&quot;* &quot;-&quot;??_-;_-@_-"/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_-&quot;$&quot;* #,##0.00_-;\-&quot;$&quot;* #,##0.00_-;_-&quot;$&quot;* &quot;-&quot;??_-;_-@_-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6" formatCode="_-&quot;$&quot;* #,##0.00_-;\-&quot;$&quot;* #,##0.00_-;_-&quot;$&quot;* &quot;-&quot;??_-;_-@_-"/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_-&quot;$&quot;* #,##0.00_-;\-&quot;$&quot;* #,##0.00_-;_-&quot;$&quot;* &quot;-&quot;??_-;_-@_-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6" formatCode="_-&quot;$&quot;* #,##0.00_-;\-&quot;$&quot;* #,##0.00_-;_-&quot;$&quot;* &quot;-&quot;??_-;_-@_-"/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_-&quot;$&quot;* #,##0.00_-;\-&quot;$&quot;* #,##0.00_-;_-&quot;$&quot;* &quot;-&quot;??_-;_-@_-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protection locked="0" hidden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6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6"/>
        <color theme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protection locked="0" hidden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protection locked="0" hidden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numFmt numFmtId="165" formatCode="00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protection locked="0" hidden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6" formatCode="_-&quot;$&quot;* #,##0.00_-;\-&quot;$&quot;* #,##0.00_-;_-&quot;$&quot;* &quot;-&quot;??_-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rgb="FF82000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6" formatCode="_-&quot;$&quot;* #,##0.00_-;\-&quot;$&quot;* #,##0.00_-;_-&quot;$&quot;* &quot;-&quot;??_-;_-@_-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6" formatCode="_-&quot;$&quot;* #,##0.00_-;\-&quot;$&quot;* #,##0.00_-;_-&quot;$&quot;* &quot;-&quot;??_-;_-@_-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6" formatCode="_-&quot;$&quot;* #,##0.00_-;\-&quot;$&quot;* #,##0.00_-;_-&quot;$&quot;* &quot;-&quot;??_-;_-@_-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6" formatCode="_-&quot;$&quot;* #,##0.00_-;\-&quot;$&quot;* #,##0.00_-;_-&quot;$&quot;* &quot;-&quot;??_-;_-@_-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6" formatCode="_-&quot;$&quot;* #,##0.00_-;\-&quot;$&quot;* #,##0.00_-;_-&quot;$&quot;* &quot;-&quot;??_-;_-@_-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6" formatCode="_-&quot;$&quot;* #,##0.00_-;\-&quot;$&quot;* #,##0.00_-;_-&quot;$&quot;* &quot;-&quot;??_-;_-@_-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6" formatCode="_-&quot;$&quot;* #,##0.00_-;\-&quot;$&quot;* #,##0.00_-;_-&quot;$&quot;* &quot;-&quot;??_-;_-@_-"/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_-&quot;$&quot;* #,##0.00_-;\-&quot;$&quot;* #,##0.00_-;_-&quot;$&quot;* &quot;-&quot;??_-;_-@_-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6" formatCode="_-&quot;$&quot;* #,##0.00_-;\-&quot;$&quot;* #,##0.00_-;_-&quot;$&quot;* &quot;-&quot;??_-;_-@_-"/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_-&quot;$&quot;* #,##0.00_-;\-&quot;$&quot;* #,##0.00_-;_-&quot;$&quot;* &quot;-&quot;??_-;_-@_-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6" formatCode="_-&quot;$&quot;* #,##0.00_-;\-&quot;$&quot;* #,##0.00_-;_-&quot;$&quot;* &quot;-&quot;??_-;_-@_-"/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_-&quot;$&quot;* #,##0.00_-;\-&quot;$&quot;* #,##0.00_-;_-&quot;$&quot;* &quot;-&quot;??_-;_-@_-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6" formatCode="_-&quot;$&quot;* #,##0.00_-;\-&quot;$&quot;* #,##0.00_-;_-&quot;$&quot;* &quot;-&quot;??_-;_-@_-"/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_-&quot;$&quot;* #,##0.00_-;\-&quot;$&quot;* #,##0.00_-;_-&quot;$&quot;* &quot;-&quot;??_-;_-@_-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protection locked="0" hidden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6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6"/>
        <color theme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protection locked="0" hidden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protection locked="0" hidden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numFmt numFmtId="165" formatCode="00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protection locked="0" hidden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rgb="FF82000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6" formatCode="_-&quot;$&quot;* #,##0.00_-;\-&quot;$&quot;* #,##0.00_-;_-&quot;$&quot;* &quot;-&quot;??_-;_-@_-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6" formatCode="_-&quot;$&quot;* #,##0.00_-;\-&quot;$&quot;* #,##0.00_-;_-&quot;$&quot;* &quot;-&quot;??_-;_-@_-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6" formatCode="_-&quot;$&quot;* #,##0.00_-;\-&quot;$&quot;* #,##0.00_-;_-&quot;$&quot;* &quot;-&quot;??_-;_-@_-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6" formatCode="_-&quot;$&quot;* #,##0.00_-;\-&quot;$&quot;* #,##0.00_-;_-&quot;$&quot;* &quot;-&quot;??_-;_-@_-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6" formatCode="_-&quot;$&quot;* #,##0.00_-;\-&quot;$&quot;* #,##0.00_-;_-&quot;$&quot;* &quot;-&quot;??_-;_-@_-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6" formatCode="_-&quot;$&quot;* #,##0.00_-;\-&quot;$&quot;* #,##0.00_-;_-&quot;$&quot;* &quot;-&quot;??_-;_-@_-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6" formatCode="_-&quot;$&quot;* #,##0.00_-;\-&quot;$&quot;* #,##0.00_-;_-&quot;$&quot;* &quot;-&quot;??_-;_-@_-"/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_-&quot;$&quot;* #,##0.00_-;\-&quot;$&quot;* #,##0.00_-;_-&quot;$&quot;* &quot;-&quot;??_-;_-@_-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6" formatCode="_-&quot;$&quot;* #,##0.00_-;\-&quot;$&quot;* #,##0.00_-;_-&quot;$&quot;* &quot;-&quot;??_-;_-@_-"/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_-&quot;$&quot;* #,##0.00_-;\-&quot;$&quot;* #,##0.00_-;_-&quot;$&quot;* &quot;-&quot;??_-;_-@_-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6" formatCode="_-&quot;$&quot;* #,##0.00_-;\-&quot;$&quot;* #,##0.00_-;_-&quot;$&quot;* &quot;-&quot;??_-;_-@_-"/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_-&quot;$&quot;* #,##0.00_-;\-&quot;$&quot;* #,##0.00_-;_-&quot;$&quot;* &quot;-&quot;??_-;_-@_-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6" formatCode="_-&quot;$&quot;* #,##0.00_-;\-&quot;$&quot;* #,##0.00_-;_-&quot;$&quot;* &quot;-&quot;??_-;_-@_-"/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_-&quot;$&quot;* #,##0.00_-;\-&quot;$&quot;* #,##0.00_-;_-&quot;$&quot;* &quot;-&quot;??_-;_-@_-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protection locked="0" hidden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6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6"/>
        <color theme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protection locked="0" hidden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protection locked="0" hidden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numFmt numFmtId="165" formatCode="00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protection locked="0" hidden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rgb="FF82000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6" formatCode="_-&quot;$&quot;* #,##0.00_-;\-&quot;$&quot;* #,##0.00_-;_-&quot;$&quot;* &quot;-&quot;??_-;_-@_-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6" formatCode="_-&quot;$&quot;* #,##0.00_-;\-&quot;$&quot;* #,##0.00_-;_-&quot;$&quot;* &quot;-&quot;??_-;_-@_-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6" formatCode="_-&quot;$&quot;* #,##0.00_-;\-&quot;$&quot;* #,##0.00_-;_-&quot;$&quot;* &quot;-&quot;??_-;_-@_-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6" formatCode="_-&quot;$&quot;* #,##0.00_-;\-&quot;$&quot;* #,##0.00_-;_-&quot;$&quot;* &quot;-&quot;??_-;_-@_-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6" formatCode="_-&quot;$&quot;* #,##0.00_-;\-&quot;$&quot;* #,##0.00_-;_-&quot;$&quot;* &quot;-&quot;??_-;_-@_-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6" formatCode="_-&quot;$&quot;* #,##0.00_-;\-&quot;$&quot;* #,##0.00_-;_-&quot;$&quot;* &quot;-&quot;??_-;_-@_-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6" formatCode="_-&quot;$&quot;* #,##0.00_-;\-&quot;$&quot;* #,##0.00_-;_-&quot;$&quot;* &quot;-&quot;??_-;_-@_-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6" formatCode="_-&quot;$&quot;* #,##0.00_-;\-&quot;$&quot;* #,##0.00_-;_-&quot;$&quot;* &quot;-&quot;??_-;_-@_-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6" formatCode="_-&quot;$&quot;* #,##0.00_-;\-&quot;$&quot;* #,##0.00_-;_-&quot;$&quot;* &quot;-&quot;??_-;_-@_-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6" formatCode="_-&quot;$&quot;* #,##0.00_-;\-&quot;$&quot;* #,##0.00_-;_-&quot;$&quot;* &quot;-&quot;??_-;_-@_-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6" formatCode="_-&quot;$&quot;* #,##0.00_-;\-&quot;$&quot;* #,##0.00_-;_-&quot;$&quot;* &quot;-&quot;??_-;_-@_-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6" formatCode="_-&quot;$&quot;* #,##0.00_-;\-&quot;$&quot;* #,##0.00_-;_-&quot;$&quot;* &quot;-&quot;??_-;_-@_-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6" formatCode="_-&quot;$&quot;* #,##0.00_-;\-&quot;$&quot;* #,##0.00_-;_-&quot;$&quot;* &quot;-&quot;??_-;_-@_-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6" formatCode="_-&quot;$&quot;* #,##0.00_-;\-&quot;$&quot;* #,##0.00_-;_-&quot;$&quot;* &quot;-&quot;??_-;_-@_-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0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0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6" formatCode="_-&quot;$&quot;* #,##0.00_-;\-&quot;$&quot;* #,##0.00_-;_-&quot;$&quot;* &quot;-&quot;??_-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rgb="FF82000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6" formatCode="_-&quot;$&quot;* #,##0.00_-;\-&quot;$&quot;* #,##0.00_-;_-&quot;$&quot;* &quot;-&quot;??_-;_-@_-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6" formatCode="_-&quot;$&quot;* #,##0.00_-;\-&quot;$&quot;* #,##0.00_-;_-&quot;$&quot;* &quot;-&quot;??_-;_-@_-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6" formatCode="_-&quot;$&quot;* #,##0.00_-;\-&quot;$&quot;* #,##0.00_-;_-&quot;$&quot;* &quot;-&quot;??_-;_-@_-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6" formatCode="_-&quot;$&quot;* #,##0.00_-;\-&quot;$&quot;* #,##0.00_-;_-&quot;$&quot;* &quot;-&quot;??_-;_-@_-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6" formatCode="_-&quot;$&quot;* #,##0.00_-;\-&quot;$&quot;* #,##0.00_-;_-&quot;$&quot;* &quot;-&quot;??_-;_-@_-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6" formatCode="_-&quot;$&quot;* #,##0.00_-;\-&quot;$&quot;* #,##0.00_-;_-&quot;$&quot;* &quot;-&quot;??_-;_-@_-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6" formatCode="_-&quot;$&quot;* #,##0.00_-;\-&quot;$&quot;* #,##0.00_-;_-&quot;$&quot;* &quot;-&quot;??_-;_-@_-"/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6" formatCode="_-&quot;$&quot;* #,##0.00_-;\-&quot;$&quot;* #,##0.00_-;_-&quot;$&quot;* &quot;-&quot;??_-;_-@_-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6" formatCode="_-&quot;$&quot;* #,##0.00_-;\-&quot;$&quot;* #,##0.00_-;_-&quot;$&quot;* &quot;-&quot;??_-;_-@_-"/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6" formatCode="_-&quot;$&quot;* #,##0.00_-;\-&quot;$&quot;* #,##0.00_-;_-&quot;$&quot;* &quot;-&quot;??_-;_-@_-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6" formatCode="_-&quot;$&quot;* #,##0.00_-;\-&quot;$&quot;* #,##0.00_-;_-&quot;$&quot;* &quot;-&quot;??_-;_-@_-"/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6" formatCode="_-&quot;$&quot;* #,##0.00_-;\-&quot;$&quot;* #,##0.00_-;_-&quot;$&quot;* &quot;-&quot;??_-;_-@_-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6" formatCode="_-&quot;$&quot;* #,##0.00_-;\-&quot;$&quot;* #,##0.00_-;_-&quot;$&quot;* &quot;-&quot;??_-;_-@_-"/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6" formatCode="_-&quot;$&quot;* #,##0.00_-;\-&quot;$&quot;* #,##0.00_-;_-&quot;$&quot;* &quot;-&quot;??_-;_-@_-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protection locked="0" hidden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6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00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0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000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00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border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6" formatCode="_-&quot;$&quot;* #,##0.00_-;\-&quot;$&quot;* #,##0.00_-;_-&quot;$&quot;* &quot;-&quot;??_-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rgb="FF82000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6" formatCode="_-&quot;$&quot;* #,##0.00_-;\-&quot;$&quot;* #,##0.00_-;_-&quot;$&quot;* &quot;-&quot;??_-;_-@_-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6" formatCode="_-&quot;$&quot;* #,##0.00_-;\-&quot;$&quot;* #,##0.00_-;_-&quot;$&quot;* &quot;-&quot;??_-;_-@_-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6" formatCode="_-&quot;$&quot;* #,##0.00_-;\-&quot;$&quot;* #,##0.00_-;_-&quot;$&quot;* &quot;-&quot;??_-;_-@_-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6" formatCode="_-&quot;$&quot;* #,##0.00_-;\-&quot;$&quot;* #,##0.00_-;_-&quot;$&quot;* &quot;-&quot;??_-;_-@_-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6" formatCode="_-&quot;$&quot;* #,##0.00_-;\-&quot;$&quot;* #,##0.00_-;_-&quot;$&quot;* &quot;-&quot;??_-;_-@_-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6" formatCode="_-&quot;$&quot;* #,##0.00_-;\-&quot;$&quot;* #,##0.00_-;_-&quot;$&quot;* &quot;-&quot;??_-;_-@_-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6" formatCode="_-&quot;$&quot;* #,##0.00_-;\-&quot;$&quot;* #,##0.00_-;_-&quot;$&quot;* &quot;-&quot;??_-;_-@_-"/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_-&quot;$&quot;* #,##0.00_-;\-&quot;$&quot;* #,##0.00_-;_-&quot;$&quot;* &quot;-&quot;??_-;_-@_-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6" formatCode="_-&quot;$&quot;* #,##0.00_-;\-&quot;$&quot;* #,##0.00_-;_-&quot;$&quot;* &quot;-&quot;??_-;_-@_-"/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_-&quot;$&quot;* #,##0.00_-;\-&quot;$&quot;* #,##0.00_-;_-&quot;$&quot;* &quot;-&quot;??_-;_-@_-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6" formatCode="_-&quot;$&quot;* #,##0.00_-;\-&quot;$&quot;* #,##0.00_-;_-&quot;$&quot;* &quot;-&quot;??_-;_-@_-"/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_-&quot;$&quot;* #,##0.00_-;\-&quot;$&quot;* #,##0.00_-;_-&quot;$&quot;* &quot;-&quot;??_-;_-@_-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6" formatCode="_-&quot;$&quot;* #,##0.00_-;\-&quot;$&quot;* #,##0.00_-;_-&quot;$&quot;* &quot;-&quot;??_-;_-@_-"/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_-&quot;$&quot;* #,##0.00_-;\-&quot;$&quot;* #,##0.00_-;_-&quot;$&quot;* &quot;-&quot;??_-;_-@_-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protection locked="0" hidden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6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6"/>
        <color theme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protection locked="0" hidden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protection locked="0" hidden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numFmt numFmtId="165" formatCode="00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protection locked="0" hidden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6" formatCode="_-&quot;$&quot;* #,##0.00_-;\-&quot;$&quot;* #,##0.00_-;_-&quot;$&quot;* &quot;-&quot;??_-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rgb="FF82000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6" formatCode="_-&quot;$&quot;* #,##0.00_-;\-&quot;$&quot;* #,##0.00_-;_-&quot;$&quot;* &quot;-&quot;??_-;_-@_-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6" formatCode="_-&quot;$&quot;* #,##0.00_-;\-&quot;$&quot;* #,##0.00_-;_-&quot;$&quot;* &quot;-&quot;??_-;_-@_-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6" formatCode="_-&quot;$&quot;* #,##0.00_-;\-&quot;$&quot;* #,##0.00_-;_-&quot;$&quot;* &quot;-&quot;??_-;_-@_-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6" formatCode="_-&quot;$&quot;* #,##0.00_-;\-&quot;$&quot;* #,##0.00_-;_-&quot;$&quot;* &quot;-&quot;??_-;_-@_-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6" formatCode="_-&quot;$&quot;* #,##0.00_-;\-&quot;$&quot;* #,##0.00_-;_-&quot;$&quot;* &quot;-&quot;??_-;_-@_-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6" formatCode="_-&quot;$&quot;* #,##0.00_-;\-&quot;$&quot;* #,##0.00_-;_-&quot;$&quot;* &quot;-&quot;??_-;_-@_-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6" formatCode="_-&quot;$&quot;* #,##0.00_-;\-&quot;$&quot;* #,##0.00_-;_-&quot;$&quot;* &quot;-&quot;??_-;_-@_-"/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_-&quot;$&quot;* #,##0.00_-;\-&quot;$&quot;* #,##0.00_-;_-&quot;$&quot;* &quot;-&quot;??_-;_-@_-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6" formatCode="_-&quot;$&quot;* #,##0.00_-;\-&quot;$&quot;* #,##0.00_-;_-&quot;$&quot;* &quot;-&quot;??_-;_-@_-"/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_-&quot;$&quot;* #,##0.00_-;\-&quot;$&quot;* #,##0.00_-;_-&quot;$&quot;* &quot;-&quot;??_-;_-@_-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6" formatCode="_-&quot;$&quot;* #,##0.00_-;\-&quot;$&quot;* #,##0.00_-;_-&quot;$&quot;* &quot;-&quot;??_-;_-@_-"/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_-&quot;$&quot;* #,##0.00_-;\-&quot;$&quot;* #,##0.00_-;_-&quot;$&quot;* &quot;-&quot;??_-;_-@_-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6" formatCode="_-&quot;$&quot;* #,##0.00_-;\-&quot;$&quot;* #,##0.00_-;_-&quot;$&quot;* &quot;-&quot;??_-;_-@_-"/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_-&quot;$&quot;* #,##0.00_-;\-&quot;$&quot;* #,##0.00_-;_-&quot;$&quot;* &quot;-&quot;??_-;_-@_-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protection locked="0" hidden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6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6"/>
        <color theme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protection locked="0" hidden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protection locked="0" hidden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numFmt numFmtId="165" formatCode="00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protection locked="0" hidden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rgb="FF82000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6" formatCode="_-&quot;$&quot;* #,##0.00_-;\-&quot;$&quot;* #,##0.00_-;_-&quot;$&quot;* &quot;-&quot;??_-;_-@_-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_-&quot;$&quot;* #,##0.00_-;\-&quot;$&quot;* #,##0.00_-;_-&quot;$&quot;* &quot;-&quot;??_-;_-@_-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6" formatCode="_-&quot;$&quot;* #,##0.00_-;\-&quot;$&quot;* #,##0.00_-;_-&quot;$&quot;* &quot;-&quot;??_-;_-@_-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_-&quot;$&quot;* #,##0.00_-;\-&quot;$&quot;* #,##0.00_-;_-&quot;$&quot;* &quot;-&quot;??_-;_-@_-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6" formatCode="_-&quot;$&quot;* #,##0.00_-;\-&quot;$&quot;* #,##0.00_-;_-&quot;$&quot;* &quot;-&quot;??_-;_-@_-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6" formatCode="_-&quot;$&quot;* #,##0.00_-;\-&quot;$&quot;* #,##0.00_-;_-&quot;$&quot;* &quot;-&quot;??_-;_-@_-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6" formatCode="_-&quot;$&quot;* #,##0.00_-;\-&quot;$&quot;* #,##0.00_-;_-&quot;$&quot;* &quot;-&quot;??_-;_-@_-"/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_-&quot;$&quot;* #,##0.00_-;\-&quot;$&quot;* #,##0.00_-;_-&quot;$&quot;* &quot;-&quot;??_-;_-@_-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6" formatCode="_-&quot;$&quot;* #,##0.00_-;\-&quot;$&quot;* #,##0.00_-;_-&quot;$&quot;* &quot;-&quot;??_-;_-@_-"/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_-&quot;$&quot;* #,##0.00_-;\-&quot;$&quot;* #,##0.00_-;_-&quot;$&quot;* &quot;-&quot;??_-;_-@_-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6" formatCode="_-&quot;$&quot;* #,##0.00_-;\-&quot;$&quot;* #,##0.00_-;_-&quot;$&quot;* &quot;-&quot;??_-;_-@_-"/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_-&quot;$&quot;* #,##0.00_-;\-&quot;$&quot;* #,##0.00_-;_-&quot;$&quot;* &quot;-&quot;??_-;_-@_-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6" formatCode="_-&quot;$&quot;* #,##0.00_-;\-&quot;$&quot;* #,##0.00_-;_-&quot;$&quot;* &quot;-&quot;??_-;_-@_-"/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_-&quot;$&quot;* #,##0.00_-;\-&quot;$&quot;* #,##0.00_-;_-&quot;$&quot;* &quot;-&quot;??_-;_-@_-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protection locked="0" hidden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6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6"/>
        <color theme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protection locked="0" hidden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protection locked="0" hidden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numFmt numFmtId="165" formatCode="00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protection locked="0" hidden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6" formatCode="_-&quot;$&quot;* #,##0.00_-;\-&quot;$&quot;* #,##0.00_-;_-&quot;$&quot;* &quot;-&quot;??_-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rgb="FF82000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6" formatCode="_-&quot;$&quot;* #,##0.00_-;\-&quot;$&quot;* #,##0.00_-;_-&quot;$&quot;* &quot;-&quot;??_-;_-@_-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6" formatCode="_-&quot;$&quot;* #,##0.00_-;\-&quot;$&quot;* #,##0.00_-;_-&quot;$&quot;* &quot;-&quot;??_-;_-@_-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6" formatCode="_-&quot;$&quot;* #,##0.00_-;\-&quot;$&quot;* #,##0.00_-;_-&quot;$&quot;* &quot;-&quot;??_-;_-@_-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6" formatCode="_-&quot;$&quot;* #,##0.00_-;\-&quot;$&quot;* #,##0.00_-;_-&quot;$&quot;* &quot;-&quot;??_-;_-@_-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6" formatCode="_-&quot;$&quot;* #,##0.00_-;\-&quot;$&quot;* #,##0.00_-;_-&quot;$&quot;* &quot;-&quot;??_-;_-@_-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6" formatCode="_-&quot;$&quot;* #,##0.00_-;\-&quot;$&quot;* #,##0.00_-;_-&quot;$&quot;* &quot;-&quot;??_-;_-@_-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6" formatCode="_-&quot;$&quot;* #,##0.00_-;\-&quot;$&quot;* #,##0.00_-;_-&quot;$&quot;* &quot;-&quot;??_-;_-@_-"/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_-&quot;$&quot;* #,##0.00_-;\-&quot;$&quot;* #,##0.00_-;_-&quot;$&quot;* &quot;-&quot;??_-;_-@_-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6" formatCode="_-&quot;$&quot;* #,##0.00_-;\-&quot;$&quot;* #,##0.00_-;_-&quot;$&quot;* &quot;-&quot;??_-;_-@_-"/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_-&quot;$&quot;* #,##0.00_-;\-&quot;$&quot;* #,##0.00_-;_-&quot;$&quot;* &quot;-&quot;??_-;_-@_-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6" formatCode="_-&quot;$&quot;* #,##0.00_-;\-&quot;$&quot;* #,##0.00_-;_-&quot;$&quot;* &quot;-&quot;??_-;_-@_-"/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_-&quot;$&quot;* #,##0.00_-;\-&quot;$&quot;* #,##0.00_-;_-&quot;$&quot;* &quot;-&quot;??_-;_-@_-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6" formatCode="_-&quot;$&quot;* #,##0.00_-;\-&quot;$&quot;* #,##0.00_-;_-&quot;$&quot;* &quot;-&quot;??_-;_-@_-"/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_-&quot;$&quot;* #,##0.00_-;\-&quot;$&quot;* #,##0.00_-;_-&quot;$&quot;* &quot;-&quot;??_-;_-@_-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protection locked="0" hidden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6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6"/>
        <color theme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protection locked="0" hidden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protection locked="0" hidden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numFmt numFmtId="165" formatCode="00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protection locked="0" hidden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rgb="FF82000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6" formatCode="_-&quot;$&quot;* #,##0.00_-;\-&quot;$&quot;* #,##0.00_-;_-&quot;$&quot;* &quot;-&quot;??_-;_-@_-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6" formatCode="_-&quot;$&quot;* #,##0.00_-;\-&quot;$&quot;* #,##0.00_-;_-&quot;$&quot;* &quot;-&quot;??_-;_-@_-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6" formatCode="_-&quot;$&quot;* #,##0.00_-;\-&quot;$&quot;* #,##0.00_-;_-&quot;$&quot;* &quot;-&quot;??_-;_-@_-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6" formatCode="_-&quot;$&quot;* #,##0.00_-;\-&quot;$&quot;* #,##0.00_-;_-&quot;$&quot;* &quot;-&quot;??_-;_-@_-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6" formatCode="_-&quot;$&quot;* #,##0.00_-;\-&quot;$&quot;* #,##0.00_-;_-&quot;$&quot;* &quot;-&quot;??_-;_-@_-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6" formatCode="_-&quot;$&quot;* #,##0.00_-;\-&quot;$&quot;* #,##0.00_-;_-&quot;$&quot;* &quot;-&quot;??_-;_-@_-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6" formatCode="_-&quot;$&quot;* #,##0.00_-;\-&quot;$&quot;* #,##0.00_-;_-&quot;$&quot;* &quot;-&quot;??_-;_-@_-"/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_-&quot;$&quot;* #,##0.00_-;\-&quot;$&quot;* #,##0.00_-;_-&quot;$&quot;* &quot;-&quot;??_-;_-@_-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6" formatCode="_-&quot;$&quot;* #,##0.00_-;\-&quot;$&quot;* #,##0.00_-;_-&quot;$&quot;* &quot;-&quot;??_-;_-@_-"/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_-&quot;$&quot;* #,##0.00_-;\-&quot;$&quot;* #,##0.00_-;_-&quot;$&quot;* &quot;-&quot;??_-;_-@_-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6" formatCode="_-&quot;$&quot;* #,##0.00_-;\-&quot;$&quot;* #,##0.00_-;_-&quot;$&quot;* &quot;-&quot;??_-;_-@_-"/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_-&quot;$&quot;* #,##0.00_-;\-&quot;$&quot;* #,##0.00_-;_-&quot;$&quot;* &quot;-&quot;??_-;_-@_-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6" formatCode="_-&quot;$&quot;* #,##0.00_-;\-&quot;$&quot;* #,##0.00_-;_-&quot;$&quot;* &quot;-&quot;??_-;_-@_-"/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_-&quot;$&quot;* #,##0.00_-;\-&quot;$&quot;* #,##0.00_-;_-&quot;$&quot;* &quot;-&quot;??_-;_-@_-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protection locked="0" hidden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6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6"/>
        <color theme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protection locked="0" hidden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protection locked="0" hidden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numFmt numFmtId="165" formatCode="00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protection locked="0" hidden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rgb="FF820000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3.xml"/><Relationship Id="rId26" Type="http://schemas.openxmlformats.org/officeDocument/2006/relationships/externalLink" Target="externalLinks/externalLink1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6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5" Type="http://schemas.openxmlformats.org/officeDocument/2006/relationships/externalLink" Target="externalLinks/externalLink10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externalLink" Target="externalLinks/externalLink5.xml"/><Relationship Id="rId29" Type="http://schemas.openxmlformats.org/officeDocument/2006/relationships/externalLink" Target="externalLinks/externalLink1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9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8.xml"/><Relationship Id="rId28" Type="http://schemas.openxmlformats.org/officeDocument/2006/relationships/externalLink" Target="externalLinks/externalLink13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4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7.xml"/><Relationship Id="rId27" Type="http://schemas.openxmlformats.org/officeDocument/2006/relationships/externalLink" Target="externalLinks/externalLink12.xml"/><Relationship Id="rId30" Type="http://schemas.openxmlformats.org/officeDocument/2006/relationships/externalLink" Target="externalLinks/externalLink15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jp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jp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69988</xdr:colOff>
      <xdr:row>0</xdr:row>
      <xdr:rowOff>66675</xdr:rowOff>
    </xdr:from>
    <xdr:to>
      <xdr:col>2</xdr:col>
      <xdr:colOff>591792</xdr:colOff>
      <xdr:row>3</xdr:row>
      <xdr:rowOff>57150</xdr:rowOff>
    </xdr:to>
    <xdr:pic>
      <xdr:nvPicPr>
        <xdr:cNvPr id="2" name="Imagen 1" descr=" ">
          <a:extLst>
            <a:ext uri="{FF2B5EF4-FFF2-40B4-BE49-F238E27FC236}">
              <a16:creationId xmlns:a16="http://schemas.microsoft.com/office/drawing/2014/main" id="{E6E0F836-E230-491E-B747-34B0F91D8155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988" y="66675"/>
          <a:ext cx="2379179" cy="7715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0</xdr:colOff>
      <xdr:row>73</xdr:row>
      <xdr:rowOff>0</xdr:rowOff>
    </xdr:from>
    <xdr:to>
      <xdr:col>7</xdr:col>
      <xdr:colOff>1852777</xdr:colOff>
      <xdr:row>78</xdr:row>
      <xdr:rowOff>178019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8B381231-83CD-4366-B9CC-460440D4C0BE}"/>
            </a:ext>
          </a:extLst>
        </xdr:cNvPr>
        <xdr:cNvGrpSpPr/>
      </xdr:nvGrpSpPr>
      <xdr:grpSpPr>
        <a:xfrm>
          <a:off x="680357" y="23499536"/>
          <a:ext cx="7907956" cy="1130519"/>
          <a:chOff x="2895600" y="1914525"/>
          <a:chExt cx="7905750" cy="1123950"/>
        </a:xfrm>
      </xdr:grpSpPr>
      <xdr:grpSp>
        <xdr:nvGrpSpPr>
          <xdr:cNvPr id="4" name="Grupo 3">
            <a:extLst>
              <a:ext uri="{FF2B5EF4-FFF2-40B4-BE49-F238E27FC236}">
                <a16:creationId xmlns:a16="http://schemas.microsoft.com/office/drawing/2014/main" id="{9610C7FD-DC06-401B-B10F-D6AED4630F00}"/>
              </a:ext>
            </a:extLst>
          </xdr:cNvPr>
          <xdr:cNvGrpSpPr/>
        </xdr:nvGrpSpPr>
        <xdr:grpSpPr>
          <a:xfrm>
            <a:off x="2895600" y="1914525"/>
            <a:ext cx="3314700" cy="1123950"/>
            <a:chOff x="2895600" y="1914525"/>
            <a:chExt cx="3314700" cy="1123950"/>
          </a:xfrm>
        </xdr:grpSpPr>
        <xdr:cxnSp macro="">
          <xdr:nvCxnSpPr>
            <xdr:cNvPr id="9" name="Conector recto 8">
              <a:extLst>
                <a:ext uri="{FF2B5EF4-FFF2-40B4-BE49-F238E27FC236}">
                  <a16:creationId xmlns:a16="http://schemas.microsoft.com/office/drawing/2014/main" id="{355E9F2E-1FF1-4201-8043-2A3711838933}"/>
                </a:ext>
              </a:extLst>
            </xdr:cNvPr>
            <xdr:cNvCxnSpPr/>
          </xdr:nvCxnSpPr>
          <xdr:spPr>
            <a:xfrm>
              <a:off x="2895600" y="2466975"/>
              <a:ext cx="3314700" cy="19050"/>
            </a:xfrm>
            <a:prstGeom prst="line">
              <a:avLst/>
            </a:prstGeom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sp macro="" textlink="">
          <xdr:nvSpPr>
            <xdr:cNvPr id="10" name="CuadroTexto 9">
              <a:extLst>
                <a:ext uri="{FF2B5EF4-FFF2-40B4-BE49-F238E27FC236}">
                  <a16:creationId xmlns:a16="http://schemas.microsoft.com/office/drawing/2014/main" id="{A140422B-5204-480B-B96F-2F21693BE01D}"/>
                </a:ext>
              </a:extLst>
            </xdr:cNvPr>
            <xdr:cNvSpPr txBox="1"/>
          </xdr:nvSpPr>
          <xdr:spPr>
            <a:xfrm>
              <a:off x="3038475" y="1914525"/>
              <a:ext cx="3048000" cy="352425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lang="es-MX" sz="1100"/>
                <a:t>Responsable</a:t>
              </a:r>
            </a:p>
          </xdr:txBody>
        </xdr:sp>
        <xdr:sp macro="" textlink="">
          <xdr:nvSpPr>
            <xdr:cNvPr id="11" name="CuadroTexto 10">
              <a:extLst>
                <a:ext uri="{FF2B5EF4-FFF2-40B4-BE49-F238E27FC236}">
                  <a16:creationId xmlns:a16="http://schemas.microsoft.com/office/drawing/2014/main" id="{AA1FC3A4-124B-444C-81A5-F8899EE39859}"/>
                </a:ext>
              </a:extLst>
            </xdr:cNvPr>
            <xdr:cNvSpPr txBox="1"/>
          </xdr:nvSpPr>
          <xdr:spPr>
            <a:xfrm>
              <a:off x="3048000" y="2686050"/>
              <a:ext cx="3048000" cy="352425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lang="es-MX" sz="1100"/>
                <a:t>Puesto</a:t>
              </a:r>
            </a:p>
          </xdr:txBody>
        </xdr:sp>
      </xdr:grpSp>
      <xdr:grpSp>
        <xdr:nvGrpSpPr>
          <xdr:cNvPr id="5" name="Grupo 4">
            <a:extLst>
              <a:ext uri="{FF2B5EF4-FFF2-40B4-BE49-F238E27FC236}">
                <a16:creationId xmlns:a16="http://schemas.microsoft.com/office/drawing/2014/main" id="{2600AE5B-E184-4B0D-AD6E-DA9FEE874658}"/>
              </a:ext>
            </a:extLst>
          </xdr:cNvPr>
          <xdr:cNvGrpSpPr/>
        </xdr:nvGrpSpPr>
        <xdr:grpSpPr>
          <a:xfrm>
            <a:off x="7486650" y="1924050"/>
            <a:ext cx="3314700" cy="1114425"/>
            <a:chOff x="7486650" y="1924050"/>
            <a:chExt cx="3314700" cy="1114425"/>
          </a:xfrm>
        </xdr:grpSpPr>
        <xdr:cxnSp macro="">
          <xdr:nvCxnSpPr>
            <xdr:cNvPr id="6" name="Conector recto 5">
              <a:extLst>
                <a:ext uri="{FF2B5EF4-FFF2-40B4-BE49-F238E27FC236}">
                  <a16:creationId xmlns:a16="http://schemas.microsoft.com/office/drawing/2014/main" id="{15F0C043-9F4F-422C-88F7-2F5EBA81077B}"/>
                </a:ext>
              </a:extLst>
            </xdr:cNvPr>
            <xdr:cNvCxnSpPr/>
          </xdr:nvCxnSpPr>
          <xdr:spPr>
            <a:xfrm>
              <a:off x="7486650" y="2466975"/>
              <a:ext cx="3314700" cy="19050"/>
            </a:xfrm>
            <a:prstGeom prst="line">
              <a:avLst/>
            </a:prstGeom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sp macro="" textlink="">
          <xdr:nvSpPr>
            <xdr:cNvPr id="7" name="CuadroTexto 6">
              <a:extLst>
                <a:ext uri="{FF2B5EF4-FFF2-40B4-BE49-F238E27FC236}">
                  <a16:creationId xmlns:a16="http://schemas.microsoft.com/office/drawing/2014/main" id="{DE243911-BF18-421D-97A5-78B971C053E0}"/>
                </a:ext>
              </a:extLst>
            </xdr:cNvPr>
            <xdr:cNvSpPr txBox="1"/>
          </xdr:nvSpPr>
          <xdr:spPr>
            <a:xfrm>
              <a:off x="7620000" y="1924050"/>
              <a:ext cx="3048000" cy="352425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lang="es-MX" sz="1100"/>
                <a:t>Elaboró</a:t>
              </a:r>
            </a:p>
          </xdr:txBody>
        </xdr:sp>
        <xdr:sp macro="" textlink="">
          <xdr:nvSpPr>
            <xdr:cNvPr id="8" name="CuadroTexto 7">
              <a:extLst>
                <a:ext uri="{FF2B5EF4-FFF2-40B4-BE49-F238E27FC236}">
                  <a16:creationId xmlns:a16="http://schemas.microsoft.com/office/drawing/2014/main" id="{F92837C0-BD2A-4EFA-86D7-88CCAD90C23E}"/>
                </a:ext>
              </a:extLst>
            </xdr:cNvPr>
            <xdr:cNvSpPr txBox="1"/>
          </xdr:nvSpPr>
          <xdr:spPr>
            <a:xfrm>
              <a:off x="7629525" y="2686050"/>
              <a:ext cx="3048000" cy="352425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lang="es-MX" sz="1100"/>
                <a:t>Puesto</a:t>
              </a:r>
            </a:p>
          </xdr:txBody>
        </xdr:sp>
      </xdr:grpSp>
    </xdr:grp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41413</xdr:colOff>
      <xdr:row>0</xdr:row>
      <xdr:rowOff>33131</xdr:rowOff>
    </xdr:from>
    <xdr:ext cx="2380715" cy="737686"/>
    <xdr:pic>
      <xdr:nvPicPr>
        <xdr:cNvPr id="2" name="Imagen 1" descr=" ">
          <a:extLst>
            <a:ext uri="{FF2B5EF4-FFF2-40B4-BE49-F238E27FC236}">
              <a16:creationId xmlns:a16="http://schemas.microsoft.com/office/drawing/2014/main" id="{06574D5C-7E7E-4800-8B37-EC49C6C1BBE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413" y="33131"/>
          <a:ext cx="2380715" cy="737686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1</xdr:col>
      <xdr:colOff>0</xdr:colOff>
      <xdr:row>146</xdr:row>
      <xdr:rowOff>0</xdr:rowOff>
    </xdr:from>
    <xdr:to>
      <xdr:col>7</xdr:col>
      <xdr:colOff>1762125</xdr:colOff>
      <xdr:row>148</xdr:row>
      <xdr:rowOff>171450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E562504C-030C-4546-9D7B-93D22573D9DB}"/>
            </a:ext>
          </a:extLst>
        </xdr:cNvPr>
        <xdr:cNvGrpSpPr/>
      </xdr:nvGrpSpPr>
      <xdr:grpSpPr>
        <a:xfrm>
          <a:off x="682625" y="69167375"/>
          <a:ext cx="7905750" cy="1123950"/>
          <a:chOff x="2895600" y="1914525"/>
          <a:chExt cx="7905750" cy="1123950"/>
        </a:xfrm>
      </xdr:grpSpPr>
      <xdr:grpSp>
        <xdr:nvGrpSpPr>
          <xdr:cNvPr id="4" name="Grupo 3">
            <a:extLst>
              <a:ext uri="{FF2B5EF4-FFF2-40B4-BE49-F238E27FC236}">
                <a16:creationId xmlns:a16="http://schemas.microsoft.com/office/drawing/2014/main" id="{7F9EBECF-122B-4B39-9A8A-9B33D6420B68}"/>
              </a:ext>
            </a:extLst>
          </xdr:cNvPr>
          <xdr:cNvGrpSpPr/>
        </xdr:nvGrpSpPr>
        <xdr:grpSpPr>
          <a:xfrm>
            <a:off x="2895600" y="1914525"/>
            <a:ext cx="3314700" cy="1123950"/>
            <a:chOff x="2895600" y="1914525"/>
            <a:chExt cx="3314700" cy="1123950"/>
          </a:xfrm>
        </xdr:grpSpPr>
        <xdr:cxnSp macro="">
          <xdr:nvCxnSpPr>
            <xdr:cNvPr id="9" name="Conector recto 8">
              <a:extLst>
                <a:ext uri="{FF2B5EF4-FFF2-40B4-BE49-F238E27FC236}">
                  <a16:creationId xmlns:a16="http://schemas.microsoft.com/office/drawing/2014/main" id="{6D1F32A2-1B84-45D5-ADDB-CEEFA3E06C6F}"/>
                </a:ext>
              </a:extLst>
            </xdr:cNvPr>
            <xdr:cNvCxnSpPr/>
          </xdr:nvCxnSpPr>
          <xdr:spPr>
            <a:xfrm>
              <a:off x="2895600" y="2466975"/>
              <a:ext cx="3314700" cy="19050"/>
            </a:xfrm>
            <a:prstGeom prst="line">
              <a:avLst/>
            </a:prstGeom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sp macro="" textlink="">
          <xdr:nvSpPr>
            <xdr:cNvPr id="10" name="CuadroTexto 9">
              <a:extLst>
                <a:ext uri="{FF2B5EF4-FFF2-40B4-BE49-F238E27FC236}">
                  <a16:creationId xmlns:a16="http://schemas.microsoft.com/office/drawing/2014/main" id="{FD6CABFE-BBFF-458B-9F12-584683D342E2}"/>
                </a:ext>
              </a:extLst>
            </xdr:cNvPr>
            <xdr:cNvSpPr txBox="1"/>
          </xdr:nvSpPr>
          <xdr:spPr>
            <a:xfrm>
              <a:off x="3038475" y="1914525"/>
              <a:ext cx="3048000" cy="352425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lang="es-MX" sz="1100"/>
                <a:t>Responsable</a:t>
              </a:r>
            </a:p>
          </xdr:txBody>
        </xdr:sp>
        <xdr:sp macro="" textlink="">
          <xdr:nvSpPr>
            <xdr:cNvPr id="11" name="CuadroTexto 10">
              <a:extLst>
                <a:ext uri="{FF2B5EF4-FFF2-40B4-BE49-F238E27FC236}">
                  <a16:creationId xmlns:a16="http://schemas.microsoft.com/office/drawing/2014/main" id="{886A987C-A7A2-4902-9D20-2825A4B4F244}"/>
                </a:ext>
              </a:extLst>
            </xdr:cNvPr>
            <xdr:cNvSpPr txBox="1"/>
          </xdr:nvSpPr>
          <xdr:spPr>
            <a:xfrm>
              <a:off x="3048000" y="2686050"/>
              <a:ext cx="3048000" cy="352425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lang="es-MX" sz="1100"/>
                <a:t>Puesto</a:t>
              </a:r>
            </a:p>
          </xdr:txBody>
        </xdr:sp>
      </xdr:grpSp>
      <xdr:grpSp>
        <xdr:nvGrpSpPr>
          <xdr:cNvPr id="5" name="Grupo 4">
            <a:extLst>
              <a:ext uri="{FF2B5EF4-FFF2-40B4-BE49-F238E27FC236}">
                <a16:creationId xmlns:a16="http://schemas.microsoft.com/office/drawing/2014/main" id="{81D6A020-DE56-4030-BDF4-FAB85AECF308}"/>
              </a:ext>
            </a:extLst>
          </xdr:cNvPr>
          <xdr:cNvGrpSpPr/>
        </xdr:nvGrpSpPr>
        <xdr:grpSpPr>
          <a:xfrm>
            <a:off x="7486650" y="1924050"/>
            <a:ext cx="3314700" cy="1114425"/>
            <a:chOff x="7486650" y="1924050"/>
            <a:chExt cx="3314700" cy="1114425"/>
          </a:xfrm>
        </xdr:grpSpPr>
        <xdr:cxnSp macro="">
          <xdr:nvCxnSpPr>
            <xdr:cNvPr id="6" name="Conector recto 5">
              <a:extLst>
                <a:ext uri="{FF2B5EF4-FFF2-40B4-BE49-F238E27FC236}">
                  <a16:creationId xmlns:a16="http://schemas.microsoft.com/office/drawing/2014/main" id="{DF1ABED7-D970-4117-9BBA-981B5BF80F67}"/>
                </a:ext>
              </a:extLst>
            </xdr:cNvPr>
            <xdr:cNvCxnSpPr/>
          </xdr:nvCxnSpPr>
          <xdr:spPr>
            <a:xfrm>
              <a:off x="7486650" y="2466975"/>
              <a:ext cx="3314700" cy="19050"/>
            </a:xfrm>
            <a:prstGeom prst="line">
              <a:avLst/>
            </a:prstGeom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sp macro="" textlink="">
          <xdr:nvSpPr>
            <xdr:cNvPr id="7" name="CuadroTexto 6">
              <a:extLst>
                <a:ext uri="{FF2B5EF4-FFF2-40B4-BE49-F238E27FC236}">
                  <a16:creationId xmlns:a16="http://schemas.microsoft.com/office/drawing/2014/main" id="{FFD309B8-E271-4DA6-972D-1531FBA40611}"/>
                </a:ext>
              </a:extLst>
            </xdr:cNvPr>
            <xdr:cNvSpPr txBox="1"/>
          </xdr:nvSpPr>
          <xdr:spPr>
            <a:xfrm>
              <a:off x="7620000" y="1924050"/>
              <a:ext cx="3048000" cy="352425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lang="es-MX" sz="1100"/>
                <a:t>Elaboró</a:t>
              </a:r>
            </a:p>
          </xdr:txBody>
        </xdr:sp>
        <xdr:sp macro="" textlink="">
          <xdr:nvSpPr>
            <xdr:cNvPr id="8" name="CuadroTexto 7">
              <a:extLst>
                <a:ext uri="{FF2B5EF4-FFF2-40B4-BE49-F238E27FC236}">
                  <a16:creationId xmlns:a16="http://schemas.microsoft.com/office/drawing/2014/main" id="{9EA3763C-76E2-40FD-A90C-6010AD5731C8}"/>
                </a:ext>
              </a:extLst>
            </xdr:cNvPr>
            <xdr:cNvSpPr txBox="1"/>
          </xdr:nvSpPr>
          <xdr:spPr>
            <a:xfrm>
              <a:off x="7629525" y="2686050"/>
              <a:ext cx="3048000" cy="352425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lang="es-MX" sz="1100"/>
                <a:t>Puesto</a:t>
              </a:r>
            </a:p>
          </xdr:txBody>
        </xdr:sp>
      </xdr:grpSp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81</xdr:row>
      <xdr:rowOff>0</xdr:rowOff>
    </xdr:from>
    <xdr:to>
      <xdr:col>8</xdr:col>
      <xdr:colOff>899583</xdr:colOff>
      <xdr:row>83</xdr:row>
      <xdr:rowOff>171450</xdr:rowOff>
    </xdr:to>
    <xdr:grpSp>
      <xdr:nvGrpSpPr>
        <xdr:cNvPr id="11" name="Grupo 10">
          <a:extLst>
            <a:ext uri="{FF2B5EF4-FFF2-40B4-BE49-F238E27FC236}">
              <a16:creationId xmlns:a16="http://schemas.microsoft.com/office/drawing/2014/main" id="{7A5BE33D-4902-4CBF-9EBE-8AE00AA72BD0}"/>
            </a:ext>
          </a:extLst>
        </xdr:cNvPr>
        <xdr:cNvGrpSpPr/>
      </xdr:nvGrpSpPr>
      <xdr:grpSpPr>
        <a:xfrm>
          <a:off x="613833" y="38227000"/>
          <a:ext cx="7905750" cy="1123950"/>
          <a:chOff x="2895600" y="1914525"/>
          <a:chExt cx="7905750" cy="1123950"/>
        </a:xfrm>
      </xdr:grpSpPr>
      <xdr:grpSp>
        <xdr:nvGrpSpPr>
          <xdr:cNvPr id="12" name="Grupo 11">
            <a:extLst>
              <a:ext uri="{FF2B5EF4-FFF2-40B4-BE49-F238E27FC236}">
                <a16:creationId xmlns:a16="http://schemas.microsoft.com/office/drawing/2014/main" id="{E0C9D8BA-26C5-43AF-B315-28DF36F7D338}"/>
              </a:ext>
            </a:extLst>
          </xdr:cNvPr>
          <xdr:cNvGrpSpPr/>
        </xdr:nvGrpSpPr>
        <xdr:grpSpPr>
          <a:xfrm>
            <a:off x="2895600" y="1914525"/>
            <a:ext cx="3314700" cy="1123950"/>
            <a:chOff x="2895600" y="1914525"/>
            <a:chExt cx="3314700" cy="1123950"/>
          </a:xfrm>
        </xdr:grpSpPr>
        <xdr:cxnSp macro="">
          <xdr:nvCxnSpPr>
            <xdr:cNvPr id="17" name="Conector recto 16">
              <a:extLst>
                <a:ext uri="{FF2B5EF4-FFF2-40B4-BE49-F238E27FC236}">
                  <a16:creationId xmlns:a16="http://schemas.microsoft.com/office/drawing/2014/main" id="{7625C2A3-2679-4ADD-BE86-EC71AEB461B6}"/>
                </a:ext>
              </a:extLst>
            </xdr:cNvPr>
            <xdr:cNvCxnSpPr/>
          </xdr:nvCxnSpPr>
          <xdr:spPr>
            <a:xfrm>
              <a:off x="2895600" y="2466975"/>
              <a:ext cx="3314700" cy="19050"/>
            </a:xfrm>
            <a:prstGeom prst="line">
              <a:avLst/>
            </a:prstGeom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sp macro="" textlink="">
          <xdr:nvSpPr>
            <xdr:cNvPr id="18" name="CuadroTexto 17">
              <a:extLst>
                <a:ext uri="{FF2B5EF4-FFF2-40B4-BE49-F238E27FC236}">
                  <a16:creationId xmlns:a16="http://schemas.microsoft.com/office/drawing/2014/main" id="{0049E8BF-CC60-4CB5-9645-2568863DE45C}"/>
                </a:ext>
              </a:extLst>
            </xdr:cNvPr>
            <xdr:cNvSpPr txBox="1"/>
          </xdr:nvSpPr>
          <xdr:spPr>
            <a:xfrm>
              <a:off x="3038475" y="1914525"/>
              <a:ext cx="3048000" cy="352425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lang="es-MX" sz="1100"/>
                <a:t>Responsable</a:t>
              </a:r>
            </a:p>
          </xdr:txBody>
        </xdr:sp>
        <xdr:sp macro="" textlink="">
          <xdr:nvSpPr>
            <xdr:cNvPr id="19" name="CuadroTexto 18">
              <a:extLst>
                <a:ext uri="{FF2B5EF4-FFF2-40B4-BE49-F238E27FC236}">
                  <a16:creationId xmlns:a16="http://schemas.microsoft.com/office/drawing/2014/main" id="{06231712-A3A2-4956-B5F8-05BAFCE10EEE}"/>
                </a:ext>
              </a:extLst>
            </xdr:cNvPr>
            <xdr:cNvSpPr txBox="1"/>
          </xdr:nvSpPr>
          <xdr:spPr>
            <a:xfrm>
              <a:off x="3048000" y="2686050"/>
              <a:ext cx="3048000" cy="352425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lang="es-MX" sz="1100"/>
                <a:t>Puesto</a:t>
              </a:r>
            </a:p>
          </xdr:txBody>
        </xdr:sp>
      </xdr:grpSp>
      <xdr:grpSp>
        <xdr:nvGrpSpPr>
          <xdr:cNvPr id="13" name="Grupo 12">
            <a:extLst>
              <a:ext uri="{FF2B5EF4-FFF2-40B4-BE49-F238E27FC236}">
                <a16:creationId xmlns:a16="http://schemas.microsoft.com/office/drawing/2014/main" id="{C0DB9BE8-7DA9-4F32-B4DD-272EF18AEA55}"/>
              </a:ext>
            </a:extLst>
          </xdr:cNvPr>
          <xdr:cNvGrpSpPr/>
        </xdr:nvGrpSpPr>
        <xdr:grpSpPr>
          <a:xfrm>
            <a:off x="7486650" y="1924050"/>
            <a:ext cx="3314700" cy="1114425"/>
            <a:chOff x="7486650" y="1924050"/>
            <a:chExt cx="3314700" cy="1114425"/>
          </a:xfrm>
        </xdr:grpSpPr>
        <xdr:cxnSp macro="">
          <xdr:nvCxnSpPr>
            <xdr:cNvPr id="14" name="Conector recto 13">
              <a:extLst>
                <a:ext uri="{FF2B5EF4-FFF2-40B4-BE49-F238E27FC236}">
                  <a16:creationId xmlns:a16="http://schemas.microsoft.com/office/drawing/2014/main" id="{02B2E1FE-957E-41CF-9B56-27DD4481AFA2}"/>
                </a:ext>
              </a:extLst>
            </xdr:cNvPr>
            <xdr:cNvCxnSpPr/>
          </xdr:nvCxnSpPr>
          <xdr:spPr>
            <a:xfrm>
              <a:off x="7486650" y="2466975"/>
              <a:ext cx="3314700" cy="19050"/>
            </a:xfrm>
            <a:prstGeom prst="line">
              <a:avLst/>
            </a:prstGeom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sp macro="" textlink="">
          <xdr:nvSpPr>
            <xdr:cNvPr id="15" name="CuadroTexto 14">
              <a:extLst>
                <a:ext uri="{FF2B5EF4-FFF2-40B4-BE49-F238E27FC236}">
                  <a16:creationId xmlns:a16="http://schemas.microsoft.com/office/drawing/2014/main" id="{FB007EA9-B697-4DB3-B5A6-C1E29E201E49}"/>
                </a:ext>
              </a:extLst>
            </xdr:cNvPr>
            <xdr:cNvSpPr txBox="1"/>
          </xdr:nvSpPr>
          <xdr:spPr>
            <a:xfrm>
              <a:off x="7620000" y="1924050"/>
              <a:ext cx="3048000" cy="352425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lang="es-MX" sz="1100"/>
                <a:t>Elaboró</a:t>
              </a:r>
            </a:p>
          </xdr:txBody>
        </xdr:sp>
        <xdr:sp macro="" textlink="">
          <xdr:nvSpPr>
            <xdr:cNvPr id="16" name="CuadroTexto 15">
              <a:extLst>
                <a:ext uri="{FF2B5EF4-FFF2-40B4-BE49-F238E27FC236}">
                  <a16:creationId xmlns:a16="http://schemas.microsoft.com/office/drawing/2014/main" id="{5AAE0646-8899-4F2B-A6B5-30FBF907EBC8}"/>
                </a:ext>
              </a:extLst>
            </xdr:cNvPr>
            <xdr:cNvSpPr txBox="1"/>
          </xdr:nvSpPr>
          <xdr:spPr>
            <a:xfrm>
              <a:off x="7629525" y="2686050"/>
              <a:ext cx="3048000" cy="352425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lang="es-MX" sz="1100"/>
                <a:t>Puesto</a:t>
              </a:r>
            </a:p>
          </xdr:txBody>
        </xdr:sp>
      </xdr:grpSp>
    </xdr:grp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381001</xdr:colOff>
      <xdr:row>0</xdr:row>
      <xdr:rowOff>128381</xdr:rowOff>
    </xdr:from>
    <xdr:to>
      <xdr:col>3</xdr:col>
      <xdr:colOff>364780</xdr:colOff>
      <xdr:row>2</xdr:row>
      <xdr:rowOff>349250</xdr:rowOff>
    </xdr:to>
    <xdr:pic>
      <xdr:nvPicPr>
        <xdr:cNvPr id="2" name="Imagen 1" descr=" ">
          <a:extLst>
            <a:ext uri="{FF2B5EF4-FFF2-40B4-BE49-F238E27FC236}">
              <a16:creationId xmlns:a16="http://schemas.microsoft.com/office/drawing/2014/main" id="{5D3C07DB-1516-4838-8D3E-13B2C95FF9D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1" y="128381"/>
          <a:ext cx="3050829" cy="74474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0</xdr:colOff>
      <xdr:row>82</xdr:row>
      <xdr:rowOff>0</xdr:rowOff>
    </xdr:from>
    <xdr:to>
      <xdr:col>7</xdr:col>
      <xdr:colOff>1770062</xdr:colOff>
      <xdr:row>84</xdr:row>
      <xdr:rowOff>171450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A5A22D92-E3C4-418E-9416-C6DFB0F63F7E}"/>
            </a:ext>
          </a:extLst>
        </xdr:cNvPr>
        <xdr:cNvGrpSpPr/>
      </xdr:nvGrpSpPr>
      <xdr:grpSpPr>
        <a:xfrm>
          <a:off x="682625" y="38695313"/>
          <a:ext cx="7905750" cy="1123950"/>
          <a:chOff x="2895600" y="1914525"/>
          <a:chExt cx="7905750" cy="1123950"/>
        </a:xfrm>
      </xdr:grpSpPr>
      <xdr:grpSp>
        <xdr:nvGrpSpPr>
          <xdr:cNvPr id="4" name="Grupo 3">
            <a:extLst>
              <a:ext uri="{FF2B5EF4-FFF2-40B4-BE49-F238E27FC236}">
                <a16:creationId xmlns:a16="http://schemas.microsoft.com/office/drawing/2014/main" id="{92E72232-506A-4580-8DE8-58969D540EF5}"/>
              </a:ext>
            </a:extLst>
          </xdr:cNvPr>
          <xdr:cNvGrpSpPr/>
        </xdr:nvGrpSpPr>
        <xdr:grpSpPr>
          <a:xfrm>
            <a:off x="2895600" y="1914525"/>
            <a:ext cx="3314700" cy="1123950"/>
            <a:chOff x="2895600" y="1914525"/>
            <a:chExt cx="3314700" cy="1123950"/>
          </a:xfrm>
        </xdr:grpSpPr>
        <xdr:cxnSp macro="">
          <xdr:nvCxnSpPr>
            <xdr:cNvPr id="9" name="Conector recto 8">
              <a:extLst>
                <a:ext uri="{FF2B5EF4-FFF2-40B4-BE49-F238E27FC236}">
                  <a16:creationId xmlns:a16="http://schemas.microsoft.com/office/drawing/2014/main" id="{AF17E165-2D26-4C34-8569-59312F615259}"/>
                </a:ext>
              </a:extLst>
            </xdr:cNvPr>
            <xdr:cNvCxnSpPr/>
          </xdr:nvCxnSpPr>
          <xdr:spPr>
            <a:xfrm>
              <a:off x="2895600" y="2466975"/>
              <a:ext cx="3314700" cy="19050"/>
            </a:xfrm>
            <a:prstGeom prst="line">
              <a:avLst/>
            </a:prstGeom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sp macro="" textlink="">
          <xdr:nvSpPr>
            <xdr:cNvPr id="10" name="CuadroTexto 9">
              <a:extLst>
                <a:ext uri="{FF2B5EF4-FFF2-40B4-BE49-F238E27FC236}">
                  <a16:creationId xmlns:a16="http://schemas.microsoft.com/office/drawing/2014/main" id="{60B5C208-0B73-48AB-BF5D-45F6FFE01F9A}"/>
                </a:ext>
              </a:extLst>
            </xdr:cNvPr>
            <xdr:cNvSpPr txBox="1"/>
          </xdr:nvSpPr>
          <xdr:spPr>
            <a:xfrm>
              <a:off x="3038475" y="1914525"/>
              <a:ext cx="3048000" cy="352425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lang="es-MX" sz="1100"/>
                <a:t>Responsable</a:t>
              </a:r>
            </a:p>
          </xdr:txBody>
        </xdr:sp>
        <xdr:sp macro="" textlink="">
          <xdr:nvSpPr>
            <xdr:cNvPr id="11" name="CuadroTexto 10">
              <a:extLst>
                <a:ext uri="{FF2B5EF4-FFF2-40B4-BE49-F238E27FC236}">
                  <a16:creationId xmlns:a16="http://schemas.microsoft.com/office/drawing/2014/main" id="{0AE6C042-0D90-4B95-B0BD-0C46BD3AE3E4}"/>
                </a:ext>
              </a:extLst>
            </xdr:cNvPr>
            <xdr:cNvSpPr txBox="1"/>
          </xdr:nvSpPr>
          <xdr:spPr>
            <a:xfrm>
              <a:off x="3048000" y="2686050"/>
              <a:ext cx="3048000" cy="352425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lang="es-MX" sz="1100"/>
                <a:t>Puesto</a:t>
              </a:r>
            </a:p>
          </xdr:txBody>
        </xdr:sp>
      </xdr:grpSp>
      <xdr:grpSp>
        <xdr:nvGrpSpPr>
          <xdr:cNvPr id="5" name="Grupo 4">
            <a:extLst>
              <a:ext uri="{FF2B5EF4-FFF2-40B4-BE49-F238E27FC236}">
                <a16:creationId xmlns:a16="http://schemas.microsoft.com/office/drawing/2014/main" id="{0FB470FE-0A56-4778-A70B-36823D511EC1}"/>
              </a:ext>
            </a:extLst>
          </xdr:cNvPr>
          <xdr:cNvGrpSpPr/>
        </xdr:nvGrpSpPr>
        <xdr:grpSpPr>
          <a:xfrm>
            <a:off x="7486650" y="1924050"/>
            <a:ext cx="3314700" cy="1114425"/>
            <a:chOff x="7486650" y="1924050"/>
            <a:chExt cx="3314700" cy="1114425"/>
          </a:xfrm>
        </xdr:grpSpPr>
        <xdr:cxnSp macro="">
          <xdr:nvCxnSpPr>
            <xdr:cNvPr id="6" name="Conector recto 5">
              <a:extLst>
                <a:ext uri="{FF2B5EF4-FFF2-40B4-BE49-F238E27FC236}">
                  <a16:creationId xmlns:a16="http://schemas.microsoft.com/office/drawing/2014/main" id="{FD2D100F-5904-4964-AD5E-243DEEBB61DE}"/>
                </a:ext>
              </a:extLst>
            </xdr:cNvPr>
            <xdr:cNvCxnSpPr/>
          </xdr:nvCxnSpPr>
          <xdr:spPr>
            <a:xfrm>
              <a:off x="7486650" y="2466975"/>
              <a:ext cx="3314700" cy="19050"/>
            </a:xfrm>
            <a:prstGeom prst="line">
              <a:avLst/>
            </a:prstGeom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sp macro="" textlink="">
          <xdr:nvSpPr>
            <xdr:cNvPr id="7" name="CuadroTexto 6">
              <a:extLst>
                <a:ext uri="{FF2B5EF4-FFF2-40B4-BE49-F238E27FC236}">
                  <a16:creationId xmlns:a16="http://schemas.microsoft.com/office/drawing/2014/main" id="{4CDAAA68-49CA-4AC0-A507-7CD5452D156B}"/>
                </a:ext>
              </a:extLst>
            </xdr:cNvPr>
            <xdr:cNvSpPr txBox="1"/>
          </xdr:nvSpPr>
          <xdr:spPr>
            <a:xfrm>
              <a:off x="7620000" y="1924050"/>
              <a:ext cx="3048000" cy="352425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lang="es-MX" sz="1100"/>
                <a:t>Elaboró</a:t>
              </a:r>
            </a:p>
          </xdr:txBody>
        </xdr:sp>
        <xdr:sp macro="" textlink="">
          <xdr:nvSpPr>
            <xdr:cNvPr id="8" name="CuadroTexto 7">
              <a:extLst>
                <a:ext uri="{FF2B5EF4-FFF2-40B4-BE49-F238E27FC236}">
                  <a16:creationId xmlns:a16="http://schemas.microsoft.com/office/drawing/2014/main" id="{593B3D9B-AE42-4206-A84D-74280404C89E}"/>
                </a:ext>
              </a:extLst>
            </xdr:cNvPr>
            <xdr:cNvSpPr txBox="1"/>
          </xdr:nvSpPr>
          <xdr:spPr>
            <a:xfrm>
              <a:off x="7629525" y="2686050"/>
              <a:ext cx="3048000" cy="352425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lang="es-MX" sz="1100"/>
                <a:t>Puesto</a:t>
              </a:r>
            </a:p>
          </xdr:txBody>
        </xdr:sp>
      </xdr:grpSp>
    </xdr:grp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333376</xdr:colOff>
      <xdr:row>0</xdr:row>
      <xdr:rowOff>133349</xdr:rowOff>
    </xdr:from>
    <xdr:to>
      <xdr:col>3</xdr:col>
      <xdr:colOff>666750</xdr:colOff>
      <xdr:row>2</xdr:row>
      <xdr:rowOff>276224</xdr:rowOff>
    </xdr:to>
    <xdr:pic>
      <xdr:nvPicPr>
        <xdr:cNvPr id="2" name="Imagen 1" descr=" ">
          <a:extLst>
            <a:ext uri="{FF2B5EF4-FFF2-40B4-BE49-F238E27FC236}">
              <a16:creationId xmlns:a16="http://schemas.microsoft.com/office/drawing/2014/main" id="{B899C125-CA07-4EA7-9E57-1E12309F902A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6" y="133349"/>
          <a:ext cx="2724149" cy="7334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0</xdr:colOff>
      <xdr:row>52</xdr:row>
      <xdr:rowOff>0</xdr:rowOff>
    </xdr:from>
    <xdr:to>
      <xdr:col>9</xdr:col>
      <xdr:colOff>66675</xdr:colOff>
      <xdr:row>57</xdr:row>
      <xdr:rowOff>171450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02941AC1-AC98-4492-9AE0-3A4486016D2E}"/>
            </a:ext>
          </a:extLst>
        </xdr:cNvPr>
        <xdr:cNvGrpSpPr/>
      </xdr:nvGrpSpPr>
      <xdr:grpSpPr>
        <a:xfrm>
          <a:off x="866775" y="21393150"/>
          <a:ext cx="7905750" cy="1123950"/>
          <a:chOff x="2895600" y="1914525"/>
          <a:chExt cx="7905750" cy="1123950"/>
        </a:xfrm>
      </xdr:grpSpPr>
      <xdr:grpSp>
        <xdr:nvGrpSpPr>
          <xdr:cNvPr id="4" name="Grupo 3">
            <a:extLst>
              <a:ext uri="{FF2B5EF4-FFF2-40B4-BE49-F238E27FC236}">
                <a16:creationId xmlns:a16="http://schemas.microsoft.com/office/drawing/2014/main" id="{6D115C58-01B1-4653-82F5-ADB73834AF7D}"/>
              </a:ext>
            </a:extLst>
          </xdr:cNvPr>
          <xdr:cNvGrpSpPr/>
        </xdr:nvGrpSpPr>
        <xdr:grpSpPr>
          <a:xfrm>
            <a:off x="2895600" y="1914525"/>
            <a:ext cx="3314700" cy="1123950"/>
            <a:chOff x="2895600" y="1914525"/>
            <a:chExt cx="3314700" cy="1123950"/>
          </a:xfrm>
        </xdr:grpSpPr>
        <xdr:cxnSp macro="">
          <xdr:nvCxnSpPr>
            <xdr:cNvPr id="9" name="Conector recto 8">
              <a:extLst>
                <a:ext uri="{FF2B5EF4-FFF2-40B4-BE49-F238E27FC236}">
                  <a16:creationId xmlns:a16="http://schemas.microsoft.com/office/drawing/2014/main" id="{72794E7B-6FA2-4DE7-BB36-CADA4B4211E8}"/>
                </a:ext>
              </a:extLst>
            </xdr:cNvPr>
            <xdr:cNvCxnSpPr/>
          </xdr:nvCxnSpPr>
          <xdr:spPr>
            <a:xfrm>
              <a:off x="2895600" y="2466975"/>
              <a:ext cx="3314700" cy="19050"/>
            </a:xfrm>
            <a:prstGeom prst="line">
              <a:avLst/>
            </a:prstGeom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sp macro="" textlink="">
          <xdr:nvSpPr>
            <xdr:cNvPr id="10" name="CuadroTexto 9">
              <a:extLst>
                <a:ext uri="{FF2B5EF4-FFF2-40B4-BE49-F238E27FC236}">
                  <a16:creationId xmlns:a16="http://schemas.microsoft.com/office/drawing/2014/main" id="{6F3C6D9B-C38D-4566-93A8-0FE6BA7BD01C}"/>
                </a:ext>
              </a:extLst>
            </xdr:cNvPr>
            <xdr:cNvSpPr txBox="1"/>
          </xdr:nvSpPr>
          <xdr:spPr>
            <a:xfrm>
              <a:off x="3038475" y="1914525"/>
              <a:ext cx="3048000" cy="352425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lang="es-MX" sz="1100"/>
                <a:t>Responsable</a:t>
              </a:r>
            </a:p>
          </xdr:txBody>
        </xdr:sp>
        <xdr:sp macro="" textlink="">
          <xdr:nvSpPr>
            <xdr:cNvPr id="11" name="CuadroTexto 10">
              <a:extLst>
                <a:ext uri="{FF2B5EF4-FFF2-40B4-BE49-F238E27FC236}">
                  <a16:creationId xmlns:a16="http://schemas.microsoft.com/office/drawing/2014/main" id="{99028D63-D98A-4C4C-B240-E16875715FC1}"/>
                </a:ext>
              </a:extLst>
            </xdr:cNvPr>
            <xdr:cNvSpPr txBox="1"/>
          </xdr:nvSpPr>
          <xdr:spPr>
            <a:xfrm>
              <a:off x="3048000" y="2686050"/>
              <a:ext cx="3048000" cy="352425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lang="es-MX" sz="1100"/>
                <a:t>Puesto</a:t>
              </a:r>
            </a:p>
          </xdr:txBody>
        </xdr:sp>
      </xdr:grpSp>
      <xdr:grpSp>
        <xdr:nvGrpSpPr>
          <xdr:cNvPr id="5" name="Grupo 4">
            <a:extLst>
              <a:ext uri="{FF2B5EF4-FFF2-40B4-BE49-F238E27FC236}">
                <a16:creationId xmlns:a16="http://schemas.microsoft.com/office/drawing/2014/main" id="{9EB76513-C02B-42D9-9FA4-9105F19D2555}"/>
              </a:ext>
            </a:extLst>
          </xdr:cNvPr>
          <xdr:cNvGrpSpPr/>
        </xdr:nvGrpSpPr>
        <xdr:grpSpPr>
          <a:xfrm>
            <a:off x="7486650" y="1924050"/>
            <a:ext cx="3314700" cy="1114425"/>
            <a:chOff x="7486650" y="1924050"/>
            <a:chExt cx="3314700" cy="1114425"/>
          </a:xfrm>
        </xdr:grpSpPr>
        <xdr:cxnSp macro="">
          <xdr:nvCxnSpPr>
            <xdr:cNvPr id="6" name="Conector recto 5">
              <a:extLst>
                <a:ext uri="{FF2B5EF4-FFF2-40B4-BE49-F238E27FC236}">
                  <a16:creationId xmlns:a16="http://schemas.microsoft.com/office/drawing/2014/main" id="{478A95C2-AEDA-4FEC-994D-C545DEB38D07}"/>
                </a:ext>
              </a:extLst>
            </xdr:cNvPr>
            <xdr:cNvCxnSpPr/>
          </xdr:nvCxnSpPr>
          <xdr:spPr>
            <a:xfrm>
              <a:off x="7486650" y="2466975"/>
              <a:ext cx="3314700" cy="19050"/>
            </a:xfrm>
            <a:prstGeom prst="line">
              <a:avLst/>
            </a:prstGeom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sp macro="" textlink="">
          <xdr:nvSpPr>
            <xdr:cNvPr id="7" name="CuadroTexto 6">
              <a:extLst>
                <a:ext uri="{FF2B5EF4-FFF2-40B4-BE49-F238E27FC236}">
                  <a16:creationId xmlns:a16="http://schemas.microsoft.com/office/drawing/2014/main" id="{E0EB71C9-CE95-4417-9930-F9089894498D}"/>
                </a:ext>
              </a:extLst>
            </xdr:cNvPr>
            <xdr:cNvSpPr txBox="1"/>
          </xdr:nvSpPr>
          <xdr:spPr>
            <a:xfrm>
              <a:off x="7620000" y="1924050"/>
              <a:ext cx="3048000" cy="352425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lang="es-MX" sz="1100"/>
                <a:t>Elaboró</a:t>
              </a:r>
            </a:p>
          </xdr:txBody>
        </xdr:sp>
        <xdr:sp macro="" textlink="">
          <xdr:nvSpPr>
            <xdr:cNvPr id="8" name="CuadroTexto 7">
              <a:extLst>
                <a:ext uri="{FF2B5EF4-FFF2-40B4-BE49-F238E27FC236}">
                  <a16:creationId xmlns:a16="http://schemas.microsoft.com/office/drawing/2014/main" id="{C5706E8F-8BC6-4B70-BC8E-B660AA6404A5}"/>
                </a:ext>
              </a:extLst>
            </xdr:cNvPr>
            <xdr:cNvSpPr txBox="1"/>
          </xdr:nvSpPr>
          <xdr:spPr>
            <a:xfrm>
              <a:off x="7629525" y="2686050"/>
              <a:ext cx="3048000" cy="352425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lang="es-MX" sz="1100"/>
                <a:t>Puesto</a:t>
              </a:r>
            </a:p>
          </xdr:txBody>
        </xdr:sp>
      </xdr:grpSp>
    </xdr:grp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41413</xdr:colOff>
      <xdr:row>0</xdr:row>
      <xdr:rowOff>33131</xdr:rowOff>
    </xdr:from>
    <xdr:to>
      <xdr:col>2</xdr:col>
      <xdr:colOff>784409</xdr:colOff>
      <xdr:row>2</xdr:row>
      <xdr:rowOff>153228</xdr:rowOff>
    </xdr:to>
    <xdr:pic>
      <xdr:nvPicPr>
        <xdr:cNvPr id="2" name="Imagen 1" descr=" ">
          <a:extLst>
            <a:ext uri="{FF2B5EF4-FFF2-40B4-BE49-F238E27FC236}">
              <a16:creationId xmlns:a16="http://schemas.microsoft.com/office/drawing/2014/main" id="{E8FA6B9B-BDC2-4C45-998A-B5858FA05586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413" y="33131"/>
          <a:ext cx="2381296" cy="73922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0</xdr:colOff>
      <xdr:row>18</xdr:row>
      <xdr:rowOff>0</xdr:rowOff>
    </xdr:from>
    <xdr:to>
      <xdr:col>7</xdr:col>
      <xdr:colOff>2457450</xdr:colOff>
      <xdr:row>20</xdr:row>
      <xdr:rowOff>171450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6E4C8A64-FDC8-49C1-8D6E-2698A69D0A30}"/>
            </a:ext>
          </a:extLst>
        </xdr:cNvPr>
        <xdr:cNvGrpSpPr/>
      </xdr:nvGrpSpPr>
      <xdr:grpSpPr>
        <a:xfrm>
          <a:off x="657225" y="8410575"/>
          <a:ext cx="7905750" cy="1123950"/>
          <a:chOff x="2895600" y="1914525"/>
          <a:chExt cx="7905750" cy="1123950"/>
        </a:xfrm>
      </xdr:grpSpPr>
      <xdr:grpSp>
        <xdr:nvGrpSpPr>
          <xdr:cNvPr id="4" name="Grupo 3">
            <a:extLst>
              <a:ext uri="{FF2B5EF4-FFF2-40B4-BE49-F238E27FC236}">
                <a16:creationId xmlns:a16="http://schemas.microsoft.com/office/drawing/2014/main" id="{8C2A76B4-95A2-485E-A76D-8A11817FD4CC}"/>
              </a:ext>
            </a:extLst>
          </xdr:cNvPr>
          <xdr:cNvGrpSpPr/>
        </xdr:nvGrpSpPr>
        <xdr:grpSpPr>
          <a:xfrm>
            <a:off x="2895600" y="1914525"/>
            <a:ext cx="3314700" cy="1123950"/>
            <a:chOff x="2895600" y="1914525"/>
            <a:chExt cx="3314700" cy="1123950"/>
          </a:xfrm>
        </xdr:grpSpPr>
        <xdr:cxnSp macro="">
          <xdr:nvCxnSpPr>
            <xdr:cNvPr id="9" name="Conector recto 8">
              <a:extLst>
                <a:ext uri="{FF2B5EF4-FFF2-40B4-BE49-F238E27FC236}">
                  <a16:creationId xmlns:a16="http://schemas.microsoft.com/office/drawing/2014/main" id="{6A8C0ABE-8A86-49B2-ABFC-0B1C27929914}"/>
                </a:ext>
              </a:extLst>
            </xdr:cNvPr>
            <xdr:cNvCxnSpPr/>
          </xdr:nvCxnSpPr>
          <xdr:spPr>
            <a:xfrm>
              <a:off x="2895600" y="2466975"/>
              <a:ext cx="3314700" cy="19050"/>
            </a:xfrm>
            <a:prstGeom prst="line">
              <a:avLst/>
            </a:prstGeom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sp macro="" textlink="">
          <xdr:nvSpPr>
            <xdr:cNvPr id="10" name="CuadroTexto 9">
              <a:extLst>
                <a:ext uri="{FF2B5EF4-FFF2-40B4-BE49-F238E27FC236}">
                  <a16:creationId xmlns:a16="http://schemas.microsoft.com/office/drawing/2014/main" id="{21434058-8C73-40BA-B9EF-E3B77A054DA3}"/>
                </a:ext>
              </a:extLst>
            </xdr:cNvPr>
            <xdr:cNvSpPr txBox="1"/>
          </xdr:nvSpPr>
          <xdr:spPr>
            <a:xfrm>
              <a:off x="3038475" y="1914525"/>
              <a:ext cx="3048000" cy="352425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lang="es-MX" sz="1100"/>
                <a:t>Responsable</a:t>
              </a:r>
            </a:p>
          </xdr:txBody>
        </xdr:sp>
        <xdr:sp macro="" textlink="">
          <xdr:nvSpPr>
            <xdr:cNvPr id="11" name="CuadroTexto 10">
              <a:extLst>
                <a:ext uri="{FF2B5EF4-FFF2-40B4-BE49-F238E27FC236}">
                  <a16:creationId xmlns:a16="http://schemas.microsoft.com/office/drawing/2014/main" id="{1D7D7433-A1B1-42A3-BCA6-00DE60F11321}"/>
                </a:ext>
              </a:extLst>
            </xdr:cNvPr>
            <xdr:cNvSpPr txBox="1"/>
          </xdr:nvSpPr>
          <xdr:spPr>
            <a:xfrm>
              <a:off x="3048000" y="2686050"/>
              <a:ext cx="3048000" cy="352425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lang="es-MX" sz="1100"/>
                <a:t>Puesto</a:t>
              </a:r>
            </a:p>
          </xdr:txBody>
        </xdr:sp>
      </xdr:grpSp>
      <xdr:grpSp>
        <xdr:nvGrpSpPr>
          <xdr:cNvPr id="5" name="Grupo 4">
            <a:extLst>
              <a:ext uri="{FF2B5EF4-FFF2-40B4-BE49-F238E27FC236}">
                <a16:creationId xmlns:a16="http://schemas.microsoft.com/office/drawing/2014/main" id="{C0E06C02-008F-4240-B0C0-B6CFA4834954}"/>
              </a:ext>
            </a:extLst>
          </xdr:cNvPr>
          <xdr:cNvGrpSpPr/>
        </xdr:nvGrpSpPr>
        <xdr:grpSpPr>
          <a:xfrm>
            <a:off x="7486650" y="1924050"/>
            <a:ext cx="3314700" cy="1114425"/>
            <a:chOff x="7486650" y="1924050"/>
            <a:chExt cx="3314700" cy="1114425"/>
          </a:xfrm>
        </xdr:grpSpPr>
        <xdr:cxnSp macro="">
          <xdr:nvCxnSpPr>
            <xdr:cNvPr id="6" name="Conector recto 5">
              <a:extLst>
                <a:ext uri="{FF2B5EF4-FFF2-40B4-BE49-F238E27FC236}">
                  <a16:creationId xmlns:a16="http://schemas.microsoft.com/office/drawing/2014/main" id="{8D78A2C7-E72A-4C61-8EC0-5E60B66DBBA3}"/>
                </a:ext>
              </a:extLst>
            </xdr:cNvPr>
            <xdr:cNvCxnSpPr/>
          </xdr:nvCxnSpPr>
          <xdr:spPr>
            <a:xfrm>
              <a:off x="7486650" y="2466975"/>
              <a:ext cx="3314700" cy="19050"/>
            </a:xfrm>
            <a:prstGeom prst="line">
              <a:avLst/>
            </a:prstGeom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sp macro="" textlink="">
          <xdr:nvSpPr>
            <xdr:cNvPr id="7" name="CuadroTexto 6">
              <a:extLst>
                <a:ext uri="{FF2B5EF4-FFF2-40B4-BE49-F238E27FC236}">
                  <a16:creationId xmlns:a16="http://schemas.microsoft.com/office/drawing/2014/main" id="{895D7E58-954D-403B-B286-E2EBC4DD0DFA}"/>
                </a:ext>
              </a:extLst>
            </xdr:cNvPr>
            <xdr:cNvSpPr txBox="1"/>
          </xdr:nvSpPr>
          <xdr:spPr>
            <a:xfrm>
              <a:off x="7620000" y="1924050"/>
              <a:ext cx="3048000" cy="352425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lang="es-MX" sz="1100"/>
                <a:t>Elaboró</a:t>
              </a:r>
            </a:p>
          </xdr:txBody>
        </xdr:sp>
        <xdr:sp macro="" textlink="">
          <xdr:nvSpPr>
            <xdr:cNvPr id="8" name="CuadroTexto 7">
              <a:extLst>
                <a:ext uri="{FF2B5EF4-FFF2-40B4-BE49-F238E27FC236}">
                  <a16:creationId xmlns:a16="http://schemas.microsoft.com/office/drawing/2014/main" id="{89AD77A8-3C7C-4E37-9158-B70E498CC101}"/>
                </a:ext>
              </a:extLst>
            </xdr:cNvPr>
            <xdr:cNvSpPr txBox="1"/>
          </xdr:nvSpPr>
          <xdr:spPr>
            <a:xfrm>
              <a:off x="7629525" y="2686050"/>
              <a:ext cx="3048000" cy="352425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lang="es-MX" sz="1100"/>
                <a:t>Puesto</a:t>
              </a:r>
            </a:p>
          </xdr:txBody>
        </xdr:sp>
      </xdr:grpSp>
    </xdr:grp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41413</xdr:colOff>
      <xdr:row>0</xdr:row>
      <xdr:rowOff>33131</xdr:rowOff>
    </xdr:from>
    <xdr:to>
      <xdr:col>2</xdr:col>
      <xdr:colOff>563217</xdr:colOff>
      <xdr:row>2</xdr:row>
      <xdr:rowOff>248478</xdr:rowOff>
    </xdr:to>
    <xdr:pic>
      <xdr:nvPicPr>
        <xdr:cNvPr id="2" name="Imagen 1" descr=" ">
          <a:extLst>
            <a:ext uri="{FF2B5EF4-FFF2-40B4-BE49-F238E27FC236}">
              <a16:creationId xmlns:a16="http://schemas.microsoft.com/office/drawing/2014/main" id="{5472F08A-73BF-4582-AF66-13C3E513D07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413" y="33131"/>
          <a:ext cx="2379179" cy="73922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0</xdr:colOff>
      <xdr:row>126</xdr:row>
      <xdr:rowOff>0</xdr:rowOff>
    </xdr:from>
    <xdr:to>
      <xdr:col>7</xdr:col>
      <xdr:colOff>1457325</xdr:colOff>
      <xdr:row>128</xdr:row>
      <xdr:rowOff>171450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E7FC5E55-A25F-4EB9-915B-512B535154E0}"/>
            </a:ext>
          </a:extLst>
        </xdr:cNvPr>
        <xdr:cNvGrpSpPr/>
      </xdr:nvGrpSpPr>
      <xdr:grpSpPr>
        <a:xfrm>
          <a:off x="685800" y="59978925"/>
          <a:ext cx="7905750" cy="1123950"/>
          <a:chOff x="2895600" y="1914525"/>
          <a:chExt cx="7905750" cy="1123950"/>
        </a:xfrm>
      </xdr:grpSpPr>
      <xdr:grpSp>
        <xdr:nvGrpSpPr>
          <xdr:cNvPr id="4" name="Grupo 3">
            <a:extLst>
              <a:ext uri="{FF2B5EF4-FFF2-40B4-BE49-F238E27FC236}">
                <a16:creationId xmlns:a16="http://schemas.microsoft.com/office/drawing/2014/main" id="{73DA74AC-D6E5-49AE-885F-A106CAA0B9B2}"/>
              </a:ext>
            </a:extLst>
          </xdr:cNvPr>
          <xdr:cNvGrpSpPr/>
        </xdr:nvGrpSpPr>
        <xdr:grpSpPr>
          <a:xfrm>
            <a:off x="2895600" y="1914525"/>
            <a:ext cx="3314700" cy="1123950"/>
            <a:chOff x="2895600" y="1914525"/>
            <a:chExt cx="3314700" cy="1123950"/>
          </a:xfrm>
        </xdr:grpSpPr>
        <xdr:cxnSp macro="">
          <xdr:nvCxnSpPr>
            <xdr:cNvPr id="9" name="Conector recto 8">
              <a:extLst>
                <a:ext uri="{FF2B5EF4-FFF2-40B4-BE49-F238E27FC236}">
                  <a16:creationId xmlns:a16="http://schemas.microsoft.com/office/drawing/2014/main" id="{FC9163DB-6B3C-44A8-BB06-F11BB586B238}"/>
                </a:ext>
              </a:extLst>
            </xdr:cNvPr>
            <xdr:cNvCxnSpPr/>
          </xdr:nvCxnSpPr>
          <xdr:spPr>
            <a:xfrm>
              <a:off x="2895600" y="2466975"/>
              <a:ext cx="3314700" cy="19050"/>
            </a:xfrm>
            <a:prstGeom prst="line">
              <a:avLst/>
            </a:prstGeom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sp macro="" textlink="">
          <xdr:nvSpPr>
            <xdr:cNvPr id="10" name="CuadroTexto 9">
              <a:extLst>
                <a:ext uri="{FF2B5EF4-FFF2-40B4-BE49-F238E27FC236}">
                  <a16:creationId xmlns:a16="http://schemas.microsoft.com/office/drawing/2014/main" id="{21A410B9-BAC6-47F5-A760-64ABD13A17AF}"/>
                </a:ext>
              </a:extLst>
            </xdr:cNvPr>
            <xdr:cNvSpPr txBox="1"/>
          </xdr:nvSpPr>
          <xdr:spPr>
            <a:xfrm>
              <a:off x="3038475" y="1914525"/>
              <a:ext cx="3048000" cy="352425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lang="es-MX" sz="1100"/>
                <a:t>Responsable</a:t>
              </a:r>
            </a:p>
          </xdr:txBody>
        </xdr:sp>
        <xdr:sp macro="" textlink="">
          <xdr:nvSpPr>
            <xdr:cNvPr id="11" name="CuadroTexto 10">
              <a:extLst>
                <a:ext uri="{FF2B5EF4-FFF2-40B4-BE49-F238E27FC236}">
                  <a16:creationId xmlns:a16="http://schemas.microsoft.com/office/drawing/2014/main" id="{6BA0CD2C-F7A2-4B22-9394-F954ECB6C59D}"/>
                </a:ext>
              </a:extLst>
            </xdr:cNvPr>
            <xdr:cNvSpPr txBox="1"/>
          </xdr:nvSpPr>
          <xdr:spPr>
            <a:xfrm>
              <a:off x="3048000" y="2686050"/>
              <a:ext cx="3048000" cy="352425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lang="es-MX" sz="1100"/>
                <a:t>Puesto</a:t>
              </a:r>
            </a:p>
          </xdr:txBody>
        </xdr:sp>
      </xdr:grpSp>
      <xdr:grpSp>
        <xdr:nvGrpSpPr>
          <xdr:cNvPr id="5" name="Grupo 4">
            <a:extLst>
              <a:ext uri="{FF2B5EF4-FFF2-40B4-BE49-F238E27FC236}">
                <a16:creationId xmlns:a16="http://schemas.microsoft.com/office/drawing/2014/main" id="{74B5CC93-9EB2-4CEB-BAAA-063EE5DE5CE6}"/>
              </a:ext>
            </a:extLst>
          </xdr:cNvPr>
          <xdr:cNvGrpSpPr/>
        </xdr:nvGrpSpPr>
        <xdr:grpSpPr>
          <a:xfrm>
            <a:off x="7486650" y="1924050"/>
            <a:ext cx="3314700" cy="1114425"/>
            <a:chOff x="7486650" y="1924050"/>
            <a:chExt cx="3314700" cy="1114425"/>
          </a:xfrm>
        </xdr:grpSpPr>
        <xdr:cxnSp macro="">
          <xdr:nvCxnSpPr>
            <xdr:cNvPr id="6" name="Conector recto 5">
              <a:extLst>
                <a:ext uri="{FF2B5EF4-FFF2-40B4-BE49-F238E27FC236}">
                  <a16:creationId xmlns:a16="http://schemas.microsoft.com/office/drawing/2014/main" id="{41FABD04-96F6-4B81-A392-0931A1451690}"/>
                </a:ext>
              </a:extLst>
            </xdr:cNvPr>
            <xdr:cNvCxnSpPr/>
          </xdr:nvCxnSpPr>
          <xdr:spPr>
            <a:xfrm>
              <a:off x="7486650" y="2466975"/>
              <a:ext cx="3314700" cy="19050"/>
            </a:xfrm>
            <a:prstGeom prst="line">
              <a:avLst/>
            </a:prstGeom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sp macro="" textlink="">
          <xdr:nvSpPr>
            <xdr:cNvPr id="7" name="CuadroTexto 6">
              <a:extLst>
                <a:ext uri="{FF2B5EF4-FFF2-40B4-BE49-F238E27FC236}">
                  <a16:creationId xmlns:a16="http://schemas.microsoft.com/office/drawing/2014/main" id="{A5EEB24D-55C4-493E-9A86-7A13D4B9A4AD}"/>
                </a:ext>
              </a:extLst>
            </xdr:cNvPr>
            <xdr:cNvSpPr txBox="1"/>
          </xdr:nvSpPr>
          <xdr:spPr>
            <a:xfrm>
              <a:off x="7620000" y="1924050"/>
              <a:ext cx="3048000" cy="352425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lang="es-MX" sz="1100"/>
                <a:t>Elaboró</a:t>
              </a:r>
            </a:p>
          </xdr:txBody>
        </xdr:sp>
        <xdr:sp macro="" textlink="">
          <xdr:nvSpPr>
            <xdr:cNvPr id="8" name="CuadroTexto 7">
              <a:extLst>
                <a:ext uri="{FF2B5EF4-FFF2-40B4-BE49-F238E27FC236}">
                  <a16:creationId xmlns:a16="http://schemas.microsoft.com/office/drawing/2014/main" id="{155A4B68-B372-45A9-97AA-A7656C1424B9}"/>
                </a:ext>
              </a:extLst>
            </xdr:cNvPr>
            <xdr:cNvSpPr txBox="1"/>
          </xdr:nvSpPr>
          <xdr:spPr>
            <a:xfrm>
              <a:off x="7629525" y="2686050"/>
              <a:ext cx="3048000" cy="352425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lang="es-MX" sz="1100"/>
                <a:t>Puesto</a:t>
              </a:r>
            </a:p>
          </xdr:txBody>
        </xdr:sp>
      </xdr:grp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41413</xdr:colOff>
      <xdr:row>0</xdr:row>
      <xdr:rowOff>33131</xdr:rowOff>
    </xdr:from>
    <xdr:to>
      <xdr:col>2</xdr:col>
      <xdr:colOff>361950</xdr:colOff>
      <xdr:row>2</xdr:row>
      <xdr:rowOff>133350</xdr:rowOff>
    </xdr:to>
    <xdr:pic>
      <xdr:nvPicPr>
        <xdr:cNvPr id="2" name="Imagen 1" descr=" ">
          <a:extLst>
            <a:ext uri="{FF2B5EF4-FFF2-40B4-BE49-F238E27FC236}">
              <a16:creationId xmlns:a16="http://schemas.microsoft.com/office/drawing/2014/main" id="{A0F8A76C-05EA-482C-9162-6336B59F0C5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413" y="33131"/>
          <a:ext cx="2149337" cy="62409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0</xdr:colOff>
      <xdr:row>151</xdr:row>
      <xdr:rowOff>0</xdr:rowOff>
    </xdr:from>
    <xdr:to>
      <xdr:col>7</xdr:col>
      <xdr:colOff>1767052</xdr:colOff>
      <xdr:row>154</xdr:row>
      <xdr:rowOff>6569</xdr:rowOff>
    </xdr:to>
    <xdr:grpSp>
      <xdr:nvGrpSpPr>
        <xdr:cNvPr id="14" name="Grupo 13">
          <a:extLst>
            <a:ext uri="{FF2B5EF4-FFF2-40B4-BE49-F238E27FC236}">
              <a16:creationId xmlns:a16="http://schemas.microsoft.com/office/drawing/2014/main" id="{0A85BF32-FCC8-4C3D-9F0C-0CDDCD336BA8}"/>
            </a:ext>
          </a:extLst>
        </xdr:cNvPr>
        <xdr:cNvGrpSpPr/>
      </xdr:nvGrpSpPr>
      <xdr:grpSpPr>
        <a:xfrm>
          <a:off x="650875" y="70993000"/>
          <a:ext cx="7910677" cy="1133694"/>
          <a:chOff x="2895600" y="1914525"/>
          <a:chExt cx="7905750" cy="1123950"/>
        </a:xfrm>
      </xdr:grpSpPr>
      <xdr:grpSp>
        <xdr:nvGrpSpPr>
          <xdr:cNvPr id="15" name="Grupo 14">
            <a:extLst>
              <a:ext uri="{FF2B5EF4-FFF2-40B4-BE49-F238E27FC236}">
                <a16:creationId xmlns:a16="http://schemas.microsoft.com/office/drawing/2014/main" id="{F2314B5C-299C-4A2F-803B-8A705C344D55}"/>
              </a:ext>
            </a:extLst>
          </xdr:cNvPr>
          <xdr:cNvGrpSpPr/>
        </xdr:nvGrpSpPr>
        <xdr:grpSpPr>
          <a:xfrm>
            <a:off x="2895600" y="1914525"/>
            <a:ext cx="3314700" cy="1123950"/>
            <a:chOff x="2895600" y="1914525"/>
            <a:chExt cx="3314700" cy="1123950"/>
          </a:xfrm>
        </xdr:grpSpPr>
        <xdr:cxnSp macro="">
          <xdr:nvCxnSpPr>
            <xdr:cNvPr id="20" name="Conector recto 19">
              <a:extLst>
                <a:ext uri="{FF2B5EF4-FFF2-40B4-BE49-F238E27FC236}">
                  <a16:creationId xmlns:a16="http://schemas.microsoft.com/office/drawing/2014/main" id="{F7BF7E13-EC35-4BC6-8452-8CDC4119A595}"/>
                </a:ext>
              </a:extLst>
            </xdr:cNvPr>
            <xdr:cNvCxnSpPr/>
          </xdr:nvCxnSpPr>
          <xdr:spPr>
            <a:xfrm>
              <a:off x="2895600" y="2466975"/>
              <a:ext cx="3314700" cy="19050"/>
            </a:xfrm>
            <a:prstGeom prst="line">
              <a:avLst/>
            </a:prstGeom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sp macro="" textlink="">
          <xdr:nvSpPr>
            <xdr:cNvPr id="21" name="CuadroTexto 20">
              <a:extLst>
                <a:ext uri="{FF2B5EF4-FFF2-40B4-BE49-F238E27FC236}">
                  <a16:creationId xmlns:a16="http://schemas.microsoft.com/office/drawing/2014/main" id="{0DE8CFFD-9ACF-4EC1-8DE7-4CF589B3E8FF}"/>
                </a:ext>
              </a:extLst>
            </xdr:cNvPr>
            <xdr:cNvSpPr txBox="1"/>
          </xdr:nvSpPr>
          <xdr:spPr>
            <a:xfrm>
              <a:off x="3038475" y="1914525"/>
              <a:ext cx="3048000" cy="352425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lang="es-MX" sz="1100"/>
                <a:t>Responsable</a:t>
              </a:r>
            </a:p>
          </xdr:txBody>
        </xdr:sp>
        <xdr:sp macro="" textlink="">
          <xdr:nvSpPr>
            <xdr:cNvPr id="22" name="CuadroTexto 21">
              <a:extLst>
                <a:ext uri="{FF2B5EF4-FFF2-40B4-BE49-F238E27FC236}">
                  <a16:creationId xmlns:a16="http://schemas.microsoft.com/office/drawing/2014/main" id="{984A8E8F-C417-4CBF-9BE5-40F8AE01C017}"/>
                </a:ext>
              </a:extLst>
            </xdr:cNvPr>
            <xdr:cNvSpPr txBox="1"/>
          </xdr:nvSpPr>
          <xdr:spPr>
            <a:xfrm>
              <a:off x="3048000" y="2686050"/>
              <a:ext cx="3048000" cy="352425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lang="es-MX" sz="1100"/>
                <a:t>Puesto</a:t>
              </a:r>
            </a:p>
          </xdr:txBody>
        </xdr:sp>
      </xdr:grpSp>
      <xdr:grpSp>
        <xdr:nvGrpSpPr>
          <xdr:cNvPr id="16" name="Grupo 15">
            <a:extLst>
              <a:ext uri="{FF2B5EF4-FFF2-40B4-BE49-F238E27FC236}">
                <a16:creationId xmlns:a16="http://schemas.microsoft.com/office/drawing/2014/main" id="{02C5D140-6D02-4B83-A958-5A7C426E3B3B}"/>
              </a:ext>
            </a:extLst>
          </xdr:cNvPr>
          <xdr:cNvGrpSpPr/>
        </xdr:nvGrpSpPr>
        <xdr:grpSpPr>
          <a:xfrm>
            <a:off x="7486650" y="1924050"/>
            <a:ext cx="3314700" cy="1114425"/>
            <a:chOff x="7486650" y="1924050"/>
            <a:chExt cx="3314700" cy="1114425"/>
          </a:xfrm>
        </xdr:grpSpPr>
        <xdr:cxnSp macro="">
          <xdr:nvCxnSpPr>
            <xdr:cNvPr id="17" name="Conector recto 16">
              <a:extLst>
                <a:ext uri="{FF2B5EF4-FFF2-40B4-BE49-F238E27FC236}">
                  <a16:creationId xmlns:a16="http://schemas.microsoft.com/office/drawing/2014/main" id="{F786CB83-08CB-41E0-A3BF-02255271CDCD}"/>
                </a:ext>
              </a:extLst>
            </xdr:cNvPr>
            <xdr:cNvCxnSpPr/>
          </xdr:nvCxnSpPr>
          <xdr:spPr>
            <a:xfrm>
              <a:off x="7486650" y="2466975"/>
              <a:ext cx="3314700" cy="19050"/>
            </a:xfrm>
            <a:prstGeom prst="line">
              <a:avLst/>
            </a:prstGeom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sp macro="" textlink="">
          <xdr:nvSpPr>
            <xdr:cNvPr id="18" name="CuadroTexto 17">
              <a:extLst>
                <a:ext uri="{FF2B5EF4-FFF2-40B4-BE49-F238E27FC236}">
                  <a16:creationId xmlns:a16="http://schemas.microsoft.com/office/drawing/2014/main" id="{C5167284-F642-445A-AD1D-9238B9DF321F}"/>
                </a:ext>
              </a:extLst>
            </xdr:cNvPr>
            <xdr:cNvSpPr txBox="1"/>
          </xdr:nvSpPr>
          <xdr:spPr>
            <a:xfrm>
              <a:off x="7620000" y="1924050"/>
              <a:ext cx="3048000" cy="352425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lang="es-MX" sz="1100"/>
                <a:t>Elaboró</a:t>
              </a:r>
            </a:p>
          </xdr:txBody>
        </xdr:sp>
        <xdr:sp macro="" textlink="">
          <xdr:nvSpPr>
            <xdr:cNvPr id="19" name="CuadroTexto 18">
              <a:extLst>
                <a:ext uri="{FF2B5EF4-FFF2-40B4-BE49-F238E27FC236}">
                  <a16:creationId xmlns:a16="http://schemas.microsoft.com/office/drawing/2014/main" id="{EA29191E-6152-4833-BB2F-351926B599B8}"/>
                </a:ext>
              </a:extLst>
            </xdr:cNvPr>
            <xdr:cNvSpPr txBox="1"/>
          </xdr:nvSpPr>
          <xdr:spPr>
            <a:xfrm>
              <a:off x="7629525" y="2686050"/>
              <a:ext cx="3048000" cy="352425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lang="es-MX" sz="1100"/>
                <a:t>Puesto</a:t>
              </a:r>
            </a:p>
          </xdr:txBody>
        </xdr:sp>
      </xdr:grp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155864</xdr:colOff>
      <xdr:row>0</xdr:row>
      <xdr:rowOff>138546</xdr:rowOff>
    </xdr:from>
    <xdr:to>
      <xdr:col>3</xdr:col>
      <xdr:colOff>35133</xdr:colOff>
      <xdr:row>2</xdr:row>
      <xdr:rowOff>144539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0DCF22F-40BB-43EE-871E-77B5084BD3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5864" y="138546"/>
          <a:ext cx="2946319" cy="529868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144</xdr:row>
      <xdr:rowOff>0</xdr:rowOff>
    </xdr:from>
    <xdr:to>
      <xdr:col>7</xdr:col>
      <xdr:colOff>1771650</xdr:colOff>
      <xdr:row>146</xdr:row>
      <xdr:rowOff>171450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72AEC2F6-D883-4140-93BB-32BDB72526F8}"/>
            </a:ext>
          </a:extLst>
        </xdr:cNvPr>
        <xdr:cNvGrpSpPr/>
      </xdr:nvGrpSpPr>
      <xdr:grpSpPr>
        <a:xfrm>
          <a:off x="685800" y="52063650"/>
          <a:ext cx="7905750" cy="1123950"/>
          <a:chOff x="2895600" y="1914525"/>
          <a:chExt cx="7905750" cy="1123950"/>
        </a:xfrm>
      </xdr:grpSpPr>
      <xdr:grpSp>
        <xdr:nvGrpSpPr>
          <xdr:cNvPr id="4" name="Grupo 3">
            <a:extLst>
              <a:ext uri="{FF2B5EF4-FFF2-40B4-BE49-F238E27FC236}">
                <a16:creationId xmlns:a16="http://schemas.microsoft.com/office/drawing/2014/main" id="{A1F8C963-4755-4E4B-8784-F31EC72EAE19}"/>
              </a:ext>
            </a:extLst>
          </xdr:cNvPr>
          <xdr:cNvGrpSpPr/>
        </xdr:nvGrpSpPr>
        <xdr:grpSpPr>
          <a:xfrm>
            <a:off x="2895600" y="1914525"/>
            <a:ext cx="3314700" cy="1123950"/>
            <a:chOff x="2895600" y="1914525"/>
            <a:chExt cx="3314700" cy="1123950"/>
          </a:xfrm>
        </xdr:grpSpPr>
        <xdr:cxnSp macro="">
          <xdr:nvCxnSpPr>
            <xdr:cNvPr id="9" name="Conector recto 8">
              <a:extLst>
                <a:ext uri="{FF2B5EF4-FFF2-40B4-BE49-F238E27FC236}">
                  <a16:creationId xmlns:a16="http://schemas.microsoft.com/office/drawing/2014/main" id="{E3443CCA-CEEB-4720-B4F0-60AC133866AF}"/>
                </a:ext>
              </a:extLst>
            </xdr:cNvPr>
            <xdr:cNvCxnSpPr/>
          </xdr:nvCxnSpPr>
          <xdr:spPr>
            <a:xfrm>
              <a:off x="2895600" y="2466975"/>
              <a:ext cx="3314700" cy="19050"/>
            </a:xfrm>
            <a:prstGeom prst="line">
              <a:avLst/>
            </a:prstGeom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sp macro="" textlink="">
          <xdr:nvSpPr>
            <xdr:cNvPr id="10" name="CuadroTexto 9">
              <a:extLst>
                <a:ext uri="{FF2B5EF4-FFF2-40B4-BE49-F238E27FC236}">
                  <a16:creationId xmlns:a16="http://schemas.microsoft.com/office/drawing/2014/main" id="{201728D4-2E22-4A63-BB7E-7E6465A1C766}"/>
                </a:ext>
              </a:extLst>
            </xdr:cNvPr>
            <xdr:cNvSpPr txBox="1"/>
          </xdr:nvSpPr>
          <xdr:spPr>
            <a:xfrm>
              <a:off x="3038475" y="1914525"/>
              <a:ext cx="3048000" cy="352425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lang="es-MX" sz="1100"/>
                <a:t>Responsable</a:t>
              </a:r>
            </a:p>
          </xdr:txBody>
        </xdr:sp>
        <xdr:sp macro="" textlink="">
          <xdr:nvSpPr>
            <xdr:cNvPr id="11" name="CuadroTexto 10">
              <a:extLst>
                <a:ext uri="{FF2B5EF4-FFF2-40B4-BE49-F238E27FC236}">
                  <a16:creationId xmlns:a16="http://schemas.microsoft.com/office/drawing/2014/main" id="{3D023137-9B26-4B7B-9D38-9B63C12F5600}"/>
                </a:ext>
              </a:extLst>
            </xdr:cNvPr>
            <xdr:cNvSpPr txBox="1"/>
          </xdr:nvSpPr>
          <xdr:spPr>
            <a:xfrm>
              <a:off x="3048000" y="2686050"/>
              <a:ext cx="3048000" cy="352425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lang="es-MX" sz="1100"/>
                <a:t>Puesto</a:t>
              </a:r>
            </a:p>
          </xdr:txBody>
        </xdr:sp>
      </xdr:grpSp>
      <xdr:grpSp>
        <xdr:nvGrpSpPr>
          <xdr:cNvPr id="5" name="Grupo 4">
            <a:extLst>
              <a:ext uri="{FF2B5EF4-FFF2-40B4-BE49-F238E27FC236}">
                <a16:creationId xmlns:a16="http://schemas.microsoft.com/office/drawing/2014/main" id="{C647C075-89E9-4F36-9B72-8E2EF3FA08C1}"/>
              </a:ext>
            </a:extLst>
          </xdr:cNvPr>
          <xdr:cNvGrpSpPr/>
        </xdr:nvGrpSpPr>
        <xdr:grpSpPr>
          <a:xfrm>
            <a:off x="7486650" y="1924050"/>
            <a:ext cx="3314700" cy="1114425"/>
            <a:chOff x="7486650" y="1924050"/>
            <a:chExt cx="3314700" cy="1114425"/>
          </a:xfrm>
        </xdr:grpSpPr>
        <xdr:cxnSp macro="">
          <xdr:nvCxnSpPr>
            <xdr:cNvPr id="6" name="Conector recto 5">
              <a:extLst>
                <a:ext uri="{FF2B5EF4-FFF2-40B4-BE49-F238E27FC236}">
                  <a16:creationId xmlns:a16="http://schemas.microsoft.com/office/drawing/2014/main" id="{5E186AE9-4B6D-4945-8A16-A818ADACBEAB}"/>
                </a:ext>
              </a:extLst>
            </xdr:cNvPr>
            <xdr:cNvCxnSpPr/>
          </xdr:nvCxnSpPr>
          <xdr:spPr>
            <a:xfrm>
              <a:off x="7486650" y="2466975"/>
              <a:ext cx="3314700" cy="19050"/>
            </a:xfrm>
            <a:prstGeom prst="line">
              <a:avLst/>
            </a:prstGeom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sp macro="" textlink="">
          <xdr:nvSpPr>
            <xdr:cNvPr id="7" name="CuadroTexto 6">
              <a:extLst>
                <a:ext uri="{FF2B5EF4-FFF2-40B4-BE49-F238E27FC236}">
                  <a16:creationId xmlns:a16="http://schemas.microsoft.com/office/drawing/2014/main" id="{53E6EEC1-D69F-449C-A1B2-41D4CF0CB83D}"/>
                </a:ext>
              </a:extLst>
            </xdr:cNvPr>
            <xdr:cNvSpPr txBox="1"/>
          </xdr:nvSpPr>
          <xdr:spPr>
            <a:xfrm>
              <a:off x="7620000" y="1924050"/>
              <a:ext cx="3048000" cy="352425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lang="es-MX" sz="1100"/>
                <a:t>Elaboró</a:t>
              </a:r>
            </a:p>
          </xdr:txBody>
        </xdr:sp>
        <xdr:sp macro="" textlink="">
          <xdr:nvSpPr>
            <xdr:cNvPr id="8" name="CuadroTexto 7">
              <a:extLst>
                <a:ext uri="{FF2B5EF4-FFF2-40B4-BE49-F238E27FC236}">
                  <a16:creationId xmlns:a16="http://schemas.microsoft.com/office/drawing/2014/main" id="{C01B3248-AE68-4E45-B312-B84BE96E2615}"/>
                </a:ext>
              </a:extLst>
            </xdr:cNvPr>
            <xdr:cNvSpPr txBox="1"/>
          </xdr:nvSpPr>
          <xdr:spPr>
            <a:xfrm>
              <a:off x="7629525" y="2686050"/>
              <a:ext cx="3048000" cy="352425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lang="es-MX" sz="1100"/>
                <a:t>Puesto</a:t>
              </a:r>
            </a:p>
          </xdr:txBody>
        </xdr:sp>
      </xdr:grp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41413</xdr:colOff>
      <xdr:row>0</xdr:row>
      <xdr:rowOff>33131</xdr:rowOff>
    </xdr:from>
    <xdr:to>
      <xdr:col>2</xdr:col>
      <xdr:colOff>563217</xdr:colOff>
      <xdr:row>2</xdr:row>
      <xdr:rowOff>248478</xdr:rowOff>
    </xdr:to>
    <xdr:pic>
      <xdr:nvPicPr>
        <xdr:cNvPr id="2" name="Imagen 1" descr=" ">
          <a:extLst>
            <a:ext uri="{FF2B5EF4-FFF2-40B4-BE49-F238E27FC236}">
              <a16:creationId xmlns:a16="http://schemas.microsoft.com/office/drawing/2014/main" id="{5920D1C9-9A3F-4A77-8C1E-FDE0E2E22324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413" y="33131"/>
          <a:ext cx="2379179" cy="73922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0</xdr:colOff>
      <xdr:row>37</xdr:row>
      <xdr:rowOff>0</xdr:rowOff>
    </xdr:from>
    <xdr:to>
      <xdr:col>7</xdr:col>
      <xdr:colOff>1778000</xdr:colOff>
      <xdr:row>39</xdr:row>
      <xdr:rowOff>171450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85FA1889-D087-468C-9A4A-46EBD0B103AC}"/>
            </a:ext>
          </a:extLst>
        </xdr:cNvPr>
        <xdr:cNvGrpSpPr/>
      </xdr:nvGrpSpPr>
      <xdr:grpSpPr>
        <a:xfrm>
          <a:off x="682625" y="17264063"/>
          <a:ext cx="7905750" cy="1123950"/>
          <a:chOff x="2895600" y="1914525"/>
          <a:chExt cx="7905750" cy="1123950"/>
        </a:xfrm>
      </xdr:grpSpPr>
      <xdr:grpSp>
        <xdr:nvGrpSpPr>
          <xdr:cNvPr id="4" name="Grupo 3">
            <a:extLst>
              <a:ext uri="{FF2B5EF4-FFF2-40B4-BE49-F238E27FC236}">
                <a16:creationId xmlns:a16="http://schemas.microsoft.com/office/drawing/2014/main" id="{B7F34D23-6FDC-453B-A9BF-444D2FA19459}"/>
              </a:ext>
            </a:extLst>
          </xdr:cNvPr>
          <xdr:cNvGrpSpPr/>
        </xdr:nvGrpSpPr>
        <xdr:grpSpPr>
          <a:xfrm>
            <a:off x="2895600" y="1914525"/>
            <a:ext cx="3314700" cy="1123950"/>
            <a:chOff x="2895600" y="1914525"/>
            <a:chExt cx="3314700" cy="1123950"/>
          </a:xfrm>
        </xdr:grpSpPr>
        <xdr:cxnSp macro="">
          <xdr:nvCxnSpPr>
            <xdr:cNvPr id="9" name="Conector recto 8">
              <a:extLst>
                <a:ext uri="{FF2B5EF4-FFF2-40B4-BE49-F238E27FC236}">
                  <a16:creationId xmlns:a16="http://schemas.microsoft.com/office/drawing/2014/main" id="{70AAA151-5B67-4337-891F-8E57D0663607}"/>
                </a:ext>
              </a:extLst>
            </xdr:cNvPr>
            <xdr:cNvCxnSpPr/>
          </xdr:nvCxnSpPr>
          <xdr:spPr>
            <a:xfrm>
              <a:off x="2895600" y="2466975"/>
              <a:ext cx="3314700" cy="19050"/>
            </a:xfrm>
            <a:prstGeom prst="line">
              <a:avLst/>
            </a:prstGeom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sp macro="" textlink="">
          <xdr:nvSpPr>
            <xdr:cNvPr id="10" name="CuadroTexto 9">
              <a:extLst>
                <a:ext uri="{FF2B5EF4-FFF2-40B4-BE49-F238E27FC236}">
                  <a16:creationId xmlns:a16="http://schemas.microsoft.com/office/drawing/2014/main" id="{DD1E51FC-541E-41B6-BF75-92632EB2CE85}"/>
                </a:ext>
              </a:extLst>
            </xdr:cNvPr>
            <xdr:cNvSpPr txBox="1"/>
          </xdr:nvSpPr>
          <xdr:spPr>
            <a:xfrm>
              <a:off x="3038475" y="1914525"/>
              <a:ext cx="3048000" cy="352425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lang="es-MX" sz="1100"/>
                <a:t>Responsable</a:t>
              </a:r>
            </a:p>
          </xdr:txBody>
        </xdr:sp>
        <xdr:sp macro="" textlink="">
          <xdr:nvSpPr>
            <xdr:cNvPr id="11" name="CuadroTexto 10">
              <a:extLst>
                <a:ext uri="{FF2B5EF4-FFF2-40B4-BE49-F238E27FC236}">
                  <a16:creationId xmlns:a16="http://schemas.microsoft.com/office/drawing/2014/main" id="{CBCDAEC1-F2A4-47D7-ABC3-219C7265A36F}"/>
                </a:ext>
              </a:extLst>
            </xdr:cNvPr>
            <xdr:cNvSpPr txBox="1"/>
          </xdr:nvSpPr>
          <xdr:spPr>
            <a:xfrm>
              <a:off x="3048000" y="2686050"/>
              <a:ext cx="3048000" cy="352425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lang="es-MX" sz="1100"/>
                <a:t>Puesto</a:t>
              </a:r>
            </a:p>
          </xdr:txBody>
        </xdr:sp>
      </xdr:grpSp>
      <xdr:grpSp>
        <xdr:nvGrpSpPr>
          <xdr:cNvPr id="5" name="Grupo 4">
            <a:extLst>
              <a:ext uri="{FF2B5EF4-FFF2-40B4-BE49-F238E27FC236}">
                <a16:creationId xmlns:a16="http://schemas.microsoft.com/office/drawing/2014/main" id="{DEFA1BA2-8E10-4031-856D-C3F8F3CA1C47}"/>
              </a:ext>
            </a:extLst>
          </xdr:cNvPr>
          <xdr:cNvGrpSpPr/>
        </xdr:nvGrpSpPr>
        <xdr:grpSpPr>
          <a:xfrm>
            <a:off x="7486650" y="1924050"/>
            <a:ext cx="3314700" cy="1114425"/>
            <a:chOff x="7486650" y="1924050"/>
            <a:chExt cx="3314700" cy="1114425"/>
          </a:xfrm>
        </xdr:grpSpPr>
        <xdr:cxnSp macro="">
          <xdr:nvCxnSpPr>
            <xdr:cNvPr id="6" name="Conector recto 5">
              <a:extLst>
                <a:ext uri="{FF2B5EF4-FFF2-40B4-BE49-F238E27FC236}">
                  <a16:creationId xmlns:a16="http://schemas.microsoft.com/office/drawing/2014/main" id="{6F211932-168A-4ADE-AF36-DBB8324BE670}"/>
                </a:ext>
              </a:extLst>
            </xdr:cNvPr>
            <xdr:cNvCxnSpPr/>
          </xdr:nvCxnSpPr>
          <xdr:spPr>
            <a:xfrm>
              <a:off x="7486650" y="2466975"/>
              <a:ext cx="3314700" cy="19050"/>
            </a:xfrm>
            <a:prstGeom prst="line">
              <a:avLst/>
            </a:prstGeom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sp macro="" textlink="">
          <xdr:nvSpPr>
            <xdr:cNvPr id="7" name="CuadroTexto 6">
              <a:extLst>
                <a:ext uri="{FF2B5EF4-FFF2-40B4-BE49-F238E27FC236}">
                  <a16:creationId xmlns:a16="http://schemas.microsoft.com/office/drawing/2014/main" id="{8A1ECF54-E758-4702-9586-470F60551744}"/>
                </a:ext>
              </a:extLst>
            </xdr:cNvPr>
            <xdr:cNvSpPr txBox="1"/>
          </xdr:nvSpPr>
          <xdr:spPr>
            <a:xfrm>
              <a:off x="7620000" y="1924050"/>
              <a:ext cx="3048000" cy="352425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lang="es-MX" sz="1100"/>
                <a:t>Elaboró</a:t>
              </a:r>
            </a:p>
          </xdr:txBody>
        </xdr:sp>
        <xdr:sp macro="" textlink="">
          <xdr:nvSpPr>
            <xdr:cNvPr id="8" name="CuadroTexto 7">
              <a:extLst>
                <a:ext uri="{FF2B5EF4-FFF2-40B4-BE49-F238E27FC236}">
                  <a16:creationId xmlns:a16="http://schemas.microsoft.com/office/drawing/2014/main" id="{B50DD6DE-C525-473D-866B-9E3A5E76B318}"/>
                </a:ext>
              </a:extLst>
            </xdr:cNvPr>
            <xdr:cNvSpPr txBox="1"/>
          </xdr:nvSpPr>
          <xdr:spPr>
            <a:xfrm>
              <a:off x="7629525" y="2686050"/>
              <a:ext cx="3048000" cy="352425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lang="es-MX" sz="1100"/>
                <a:t>Puesto</a:t>
              </a:r>
            </a:p>
          </xdr:txBody>
        </xdr:sp>
      </xdr:grp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41413</xdr:colOff>
      <xdr:row>0</xdr:row>
      <xdr:rowOff>33131</xdr:rowOff>
    </xdr:from>
    <xdr:to>
      <xdr:col>2</xdr:col>
      <xdr:colOff>563217</xdr:colOff>
      <xdr:row>2</xdr:row>
      <xdr:rowOff>248478</xdr:rowOff>
    </xdr:to>
    <xdr:pic>
      <xdr:nvPicPr>
        <xdr:cNvPr id="2" name="Imagen 1" descr=" ">
          <a:extLst>
            <a:ext uri="{FF2B5EF4-FFF2-40B4-BE49-F238E27FC236}">
              <a16:creationId xmlns:a16="http://schemas.microsoft.com/office/drawing/2014/main" id="{696768FC-BBD7-4CAE-834D-73652A3A9825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413" y="33131"/>
          <a:ext cx="2379179" cy="73922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0</xdr:colOff>
      <xdr:row>47</xdr:row>
      <xdr:rowOff>0</xdr:rowOff>
    </xdr:from>
    <xdr:to>
      <xdr:col>7</xdr:col>
      <xdr:colOff>1771650</xdr:colOff>
      <xdr:row>49</xdr:row>
      <xdr:rowOff>171450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F9CC2E78-A943-4455-A38D-E87B64F0FDA1}"/>
            </a:ext>
          </a:extLst>
        </xdr:cNvPr>
        <xdr:cNvGrpSpPr/>
      </xdr:nvGrpSpPr>
      <xdr:grpSpPr>
        <a:xfrm>
          <a:off x="685800" y="22021800"/>
          <a:ext cx="7905750" cy="1123950"/>
          <a:chOff x="2895600" y="1914525"/>
          <a:chExt cx="7905750" cy="1123950"/>
        </a:xfrm>
      </xdr:grpSpPr>
      <xdr:grpSp>
        <xdr:nvGrpSpPr>
          <xdr:cNvPr id="4" name="Grupo 3">
            <a:extLst>
              <a:ext uri="{FF2B5EF4-FFF2-40B4-BE49-F238E27FC236}">
                <a16:creationId xmlns:a16="http://schemas.microsoft.com/office/drawing/2014/main" id="{737B60FE-BE2E-4F1E-869D-AF49D46BC573}"/>
              </a:ext>
            </a:extLst>
          </xdr:cNvPr>
          <xdr:cNvGrpSpPr/>
        </xdr:nvGrpSpPr>
        <xdr:grpSpPr>
          <a:xfrm>
            <a:off x="2895600" y="1914525"/>
            <a:ext cx="3314700" cy="1123950"/>
            <a:chOff x="2895600" y="1914525"/>
            <a:chExt cx="3314700" cy="1123950"/>
          </a:xfrm>
        </xdr:grpSpPr>
        <xdr:cxnSp macro="">
          <xdr:nvCxnSpPr>
            <xdr:cNvPr id="9" name="Conector recto 8">
              <a:extLst>
                <a:ext uri="{FF2B5EF4-FFF2-40B4-BE49-F238E27FC236}">
                  <a16:creationId xmlns:a16="http://schemas.microsoft.com/office/drawing/2014/main" id="{0F62660B-B6CA-499D-ABFE-DA5169C4EE0C}"/>
                </a:ext>
              </a:extLst>
            </xdr:cNvPr>
            <xdr:cNvCxnSpPr/>
          </xdr:nvCxnSpPr>
          <xdr:spPr>
            <a:xfrm>
              <a:off x="2895600" y="2466975"/>
              <a:ext cx="3314700" cy="19050"/>
            </a:xfrm>
            <a:prstGeom prst="line">
              <a:avLst/>
            </a:prstGeom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sp macro="" textlink="">
          <xdr:nvSpPr>
            <xdr:cNvPr id="10" name="CuadroTexto 9">
              <a:extLst>
                <a:ext uri="{FF2B5EF4-FFF2-40B4-BE49-F238E27FC236}">
                  <a16:creationId xmlns:a16="http://schemas.microsoft.com/office/drawing/2014/main" id="{A2B10154-4142-40DB-ABB0-2165DC446B67}"/>
                </a:ext>
              </a:extLst>
            </xdr:cNvPr>
            <xdr:cNvSpPr txBox="1"/>
          </xdr:nvSpPr>
          <xdr:spPr>
            <a:xfrm>
              <a:off x="3038475" y="1914525"/>
              <a:ext cx="3048000" cy="352425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lang="es-MX" sz="1100"/>
                <a:t>Responsable</a:t>
              </a:r>
            </a:p>
          </xdr:txBody>
        </xdr:sp>
        <xdr:sp macro="" textlink="">
          <xdr:nvSpPr>
            <xdr:cNvPr id="11" name="CuadroTexto 10">
              <a:extLst>
                <a:ext uri="{FF2B5EF4-FFF2-40B4-BE49-F238E27FC236}">
                  <a16:creationId xmlns:a16="http://schemas.microsoft.com/office/drawing/2014/main" id="{959FBDAA-B648-411F-806A-C10FBB051178}"/>
                </a:ext>
              </a:extLst>
            </xdr:cNvPr>
            <xdr:cNvSpPr txBox="1"/>
          </xdr:nvSpPr>
          <xdr:spPr>
            <a:xfrm>
              <a:off x="3048000" y="2686050"/>
              <a:ext cx="3048000" cy="352425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lang="es-MX" sz="1100"/>
                <a:t>Puesto</a:t>
              </a:r>
            </a:p>
          </xdr:txBody>
        </xdr:sp>
      </xdr:grpSp>
      <xdr:grpSp>
        <xdr:nvGrpSpPr>
          <xdr:cNvPr id="5" name="Grupo 4">
            <a:extLst>
              <a:ext uri="{FF2B5EF4-FFF2-40B4-BE49-F238E27FC236}">
                <a16:creationId xmlns:a16="http://schemas.microsoft.com/office/drawing/2014/main" id="{FA3F9F59-1A5C-4CF8-8381-46AC0E49CCB7}"/>
              </a:ext>
            </a:extLst>
          </xdr:cNvPr>
          <xdr:cNvGrpSpPr/>
        </xdr:nvGrpSpPr>
        <xdr:grpSpPr>
          <a:xfrm>
            <a:off x="7486650" y="1924050"/>
            <a:ext cx="3314700" cy="1114425"/>
            <a:chOff x="7486650" y="1924050"/>
            <a:chExt cx="3314700" cy="1114425"/>
          </a:xfrm>
        </xdr:grpSpPr>
        <xdr:cxnSp macro="">
          <xdr:nvCxnSpPr>
            <xdr:cNvPr id="6" name="Conector recto 5">
              <a:extLst>
                <a:ext uri="{FF2B5EF4-FFF2-40B4-BE49-F238E27FC236}">
                  <a16:creationId xmlns:a16="http://schemas.microsoft.com/office/drawing/2014/main" id="{3C808566-1AF2-4249-9B92-AD3F25A5E0F1}"/>
                </a:ext>
              </a:extLst>
            </xdr:cNvPr>
            <xdr:cNvCxnSpPr/>
          </xdr:nvCxnSpPr>
          <xdr:spPr>
            <a:xfrm>
              <a:off x="7486650" y="2466975"/>
              <a:ext cx="3314700" cy="19050"/>
            </a:xfrm>
            <a:prstGeom prst="line">
              <a:avLst/>
            </a:prstGeom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sp macro="" textlink="">
          <xdr:nvSpPr>
            <xdr:cNvPr id="7" name="CuadroTexto 6">
              <a:extLst>
                <a:ext uri="{FF2B5EF4-FFF2-40B4-BE49-F238E27FC236}">
                  <a16:creationId xmlns:a16="http://schemas.microsoft.com/office/drawing/2014/main" id="{6B5117EA-83EA-4B6B-A32F-B6680CF3FAD0}"/>
                </a:ext>
              </a:extLst>
            </xdr:cNvPr>
            <xdr:cNvSpPr txBox="1"/>
          </xdr:nvSpPr>
          <xdr:spPr>
            <a:xfrm>
              <a:off x="7620000" y="1924050"/>
              <a:ext cx="3048000" cy="352425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lang="es-MX" sz="1100"/>
                <a:t>Elaboró</a:t>
              </a:r>
            </a:p>
          </xdr:txBody>
        </xdr:sp>
        <xdr:sp macro="" textlink="">
          <xdr:nvSpPr>
            <xdr:cNvPr id="8" name="CuadroTexto 7">
              <a:extLst>
                <a:ext uri="{FF2B5EF4-FFF2-40B4-BE49-F238E27FC236}">
                  <a16:creationId xmlns:a16="http://schemas.microsoft.com/office/drawing/2014/main" id="{E1D1A3CD-B33F-42FE-8A72-31B766DED104}"/>
                </a:ext>
              </a:extLst>
            </xdr:cNvPr>
            <xdr:cNvSpPr txBox="1"/>
          </xdr:nvSpPr>
          <xdr:spPr>
            <a:xfrm>
              <a:off x="7629525" y="2686050"/>
              <a:ext cx="3048000" cy="352425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lang="es-MX" sz="1100"/>
                <a:t>Puesto</a:t>
              </a:r>
            </a:p>
          </xdr:txBody>
        </xdr:sp>
      </xdr:grp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76200</xdr:rowOff>
    </xdr:from>
    <xdr:to>
      <xdr:col>2</xdr:col>
      <xdr:colOff>786765</xdr:colOff>
      <xdr:row>2</xdr:row>
      <xdr:rowOff>194310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28C5B94-B1B0-49E7-8314-3A5A674046C5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7718"/>
        <a:stretch/>
      </xdr:blipFill>
      <xdr:spPr bwMode="auto">
        <a:xfrm>
          <a:off x="28575" y="76200"/>
          <a:ext cx="2615565" cy="64198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14</xdr:col>
      <xdr:colOff>1276351</xdr:colOff>
      <xdr:row>0</xdr:row>
      <xdr:rowOff>47625</xdr:rowOff>
    </xdr:from>
    <xdr:to>
      <xdr:col>15</xdr:col>
      <xdr:colOff>952501</xdr:colOff>
      <xdr:row>2</xdr:row>
      <xdr:rowOff>371475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CDE90DB-859A-442C-9184-29FDA8625F6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7776" y="47625"/>
          <a:ext cx="1123950" cy="847725"/>
        </a:xfrm>
        <a:prstGeom prst="rect">
          <a:avLst/>
        </a:prstGeom>
        <a:noFill/>
      </xdr:spPr>
    </xdr:pic>
    <xdr:clientData/>
  </xdr:twoCellAnchor>
  <xdr:twoCellAnchor>
    <xdr:from>
      <xdr:col>1</xdr:col>
      <xdr:colOff>0</xdr:colOff>
      <xdr:row>20</xdr:row>
      <xdr:rowOff>0</xdr:rowOff>
    </xdr:from>
    <xdr:to>
      <xdr:col>8</xdr:col>
      <xdr:colOff>57150</xdr:colOff>
      <xdr:row>22</xdr:row>
      <xdr:rowOff>171450</xdr:rowOff>
    </xdr:to>
    <xdr:grpSp>
      <xdr:nvGrpSpPr>
        <xdr:cNvPr id="4" name="Grupo 3">
          <a:extLst>
            <a:ext uri="{FF2B5EF4-FFF2-40B4-BE49-F238E27FC236}">
              <a16:creationId xmlns:a16="http://schemas.microsoft.com/office/drawing/2014/main" id="{56AB07FF-6A5A-4634-8E84-05296326CDB0}"/>
            </a:ext>
          </a:extLst>
        </xdr:cNvPr>
        <xdr:cNvGrpSpPr/>
      </xdr:nvGrpSpPr>
      <xdr:grpSpPr>
        <a:xfrm>
          <a:off x="685800" y="9163050"/>
          <a:ext cx="7905750" cy="1123950"/>
          <a:chOff x="2895600" y="1914525"/>
          <a:chExt cx="7905750" cy="1123950"/>
        </a:xfrm>
      </xdr:grpSpPr>
      <xdr:grpSp>
        <xdr:nvGrpSpPr>
          <xdr:cNvPr id="5" name="Grupo 4">
            <a:extLst>
              <a:ext uri="{FF2B5EF4-FFF2-40B4-BE49-F238E27FC236}">
                <a16:creationId xmlns:a16="http://schemas.microsoft.com/office/drawing/2014/main" id="{39B6C925-BBA1-41FE-B3B2-52204BE67671}"/>
              </a:ext>
            </a:extLst>
          </xdr:cNvPr>
          <xdr:cNvGrpSpPr/>
        </xdr:nvGrpSpPr>
        <xdr:grpSpPr>
          <a:xfrm>
            <a:off x="2895600" y="1914525"/>
            <a:ext cx="3314700" cy="1123950"/>
            <a:chOff x="2895600" y="1914525"/>
            <a:chExt cx="3314700" cy="1123950"/>
          </a:xfrm>
        </xdr:grpSpPr>
        <xdr:cxnSp macro="">
          <xdr:nvCxnSpPr>
            <xdr:cNvPr id="10" name="Conector recto 9">
              <a:extLst>
                <a:ext uri="{FF2B5EF4-FFF2-40B4-BE49-F238E27FC236}">
                  <a16:creationId xmlns:a16="http://schemas.microsoft.com/office/drawing/2014/main" id="{87774BF1-97DD-4025-9A93-C0F6BF3A9636}"/>
                </a:ext>
              </a:extLst>
            </xdr:cNvPr>
            <xdr:cNvCxnSpPr/>
          </xdr:nvCxnSpPr>
          <xdr:spPr>
            <a:xfrm>
              <a:off x="2895600" y="2466975"/>
              <a:ext cx="3314700" cy="19050"/>
            </a:xfrm>
            <a:prstGeom prst="line">
              <a:avLst/>
            </a:prstGeom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sp macro="" textlink="">
          <xdr:nvSpPr>
            <xdr:cNvPr id="11" name="CuadroTexto 10">
              <a:extLst>
                <a:ext uri="{FF2B5EF4-FFF2-40B4-BE49-F238E27FC236}">
                  <a16:creationId xmlns:a16="http://schemas.microsoft.com/office/drawing/2014/main" id="{D184BD25-D17E-4FCC-A43A-7CFF3882C20F}"/>
                </a:ext>
              </a:extLst>
            </xdr:cNvPr>
            <xdr:cNvSpPr txBox="1"/>
          </xdr:nvSpPr>
          <xdr:spPr>
            <a:xfrm>
              <a:off x="3038475" y="1914525"/>
              <a:ext cx="3048000" cy="352425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lang="es-MX" sz="1100"/>
                <a:t>Responsable</a:t>
              </a:r>
            </a:p>
          </xdr:txBody>
        </xdr:sp>
        <xdr:sp macro="" textlink="">
          <xdr:nvSpPr>
            <xdr:cNvPr id="12" name="CuadroTexto 11">
              <a:extLst>
                <a:ext uri="{FF2B5EF4-FFF2-40B4-BE49-F238E27FC236}">
                  <a16:creationId xmlns:a16="http://schemas.microsoft.com/office/drawing/2014/main" id="{B7259C1D-8CD8-448E-ACAF-E48BE9718774}"/>
                </a:ext>
              </a:extLst>
            </xdr:cNvPr>
            <xdr:cNvSpPr txBox="1"/>
          </xdr:nvSpPr>
          <xdr:spPr>
            <a:xfrm>
              <a:off x="3048000" y="2686050"/>
              <a:ext cx="3048000" cy="352425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lang="es-MX" sz="1100"/>
                <a:t>Puesto</a:t>
              </a:r>
            </a:p>
          </xdr:txBody>
        </xdr:sp>
      </xdr:grpSp>
      <xdr:grpSp>
        <xdr:nvGrpSpPr>
          <xdr:cNvPr id="6" name="Grupo 5">
            <a:extLst>
              <a:ext uri="{FF2B5EF4-FFF2-40B4-BE49-F238E27FC236}">
                <a16:creationId xmlns:a16="http://schemas.microsoft.com/office/drawing/2014/main" id="{88BEAB4C-7549-42B6-BC9E-F5B9A7BE8551}"/>
              </a:ext>
            </a:extLst>
          </xdr:cNvPr>
          <xdr:cNvGrpSpPr/>
        </xdr:nvGrpSpPr>
        <xdr:grpSpPr>
          <a:xfrm>
            <a:off x="7486650" y="1924050"/>
            <a:ext cx="3314700" cy="1114425"/>
            <a:chOff x="7486650" y="1924050"/>
            <a:chExt cx="3314700" cy="1114425"/>
          </a:xfrm>
        </xdr:grpSpPr>
        <xdr:cxnSp macro="">
          <xdr:nvCxnSpPr>
            <xdr:cNvPr id="7" name="Conector recto 6">
              <a:extLst>
                <a:ext uri="{FF2B5EF4-FFF2-40B4-BE49-F238E27FC236}">
                  <a16:creationId xmlns:a16="http://schemas.microsoft.com/office/drawing/2014/main" id="{6B62EBD9-E6EC-4BB6-80FC-CDA6B041F503}"/>
                </a:ext>
              </a:extLst>
            </xdr:cNvPr>
            <xdr:cNvCxnSpPr/>
          </xdr:nvCxnSpPr>
          <xdr:spPr>
            <a:xfrm>
              <a:off x="7486650" y="2466975"/>
              <a:ext cx="3314700" cy="19050"/>
            </a:xfrm>
            <a:prstGeom prst="line">
              <a:avLst/>
            </a:prstGeom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sp macro="" textlink="">
          <xdr:nvSpPr>
            <xdr:cNvPr id="8" name="CuadroTexto 7">
              <a:extLst>
                <a:ext uri="{FF2B5EF4-FFF2-40B4-BE49-F238E27FC236}">
                  <a16:creationId xmlns:a16="http://schemas.microsoft.com/office/drawing/2014/main" id="{09173425-213F-4553-8436-BB351CB0FBCF}"/>
                </a:ext>
              </a:extLst>
            </xdr:cNvPr>
            <xdr:cNvSpPr txBox="1"/>
          </xdr:nvSpPr>
          <xdr:spPr>
            <a:xfrm>
              <a:off x="7620000" y="1924050"/>
              <a:ext cx="3048000" cy="352425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lang="es-MX" sz="1100"/>
                <a:t>Elaboró</a:t>
              </a:r>
            </a:p>
          </xdr:txBody>
        </xdr:sp>
        <xdr:sp macro="" textlink="">
          <xdr:nvSpPr>
            <xdr:cNvPr id="9" name="CuadroTexto 8">
              <a:extLst>
                <a:ext uri="{FF2B5EF4-FFF2-40B4-BE49-F238E27FC236}">
                  <a16:creationId xmlns:a16="http://schemas.microsoft.com/office/drawing/2014/main" id="{D2CD3E84-0C96-4D63-87E7-BF4E24182CC9}"/>
                </a:ext>
              </a:extLst>
            </xdr:cNvPr>
            <xdr:cNvSpPr txBox="1"/>
          </xdr:nvSpPr>
          <xdr:spPr>
            <a:xfrm>
              <a:off x="7629525" y="2686050"/>
              <a:ext cx="3048000" cy="352425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lang="es-MX" sz="1100"/>
                <a:t>Puesto</a:t>
              </a:r>
            </a:p>
          </xdr:txBody>
        </xdr:sp>
      </xdr:grp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76200</xdr:rowOff>
    </xdr:from>
    <xdr:to>
      <xdr:col>2</xdr:col>
      <xdr:colOff>786765</xdr:colOff>
      <xdr:row>2</xdr:row>
      <xdr:rowOff>194310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FA38418-075D-4A59-8D55-333ADE0D2F64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7718"/>
        <a:stretch/>
      </xdr:blipFill>
      <xdr:spPr bwMode="auto">
        <a:xfrm>
          <a:off x="28575" y="76200"/>
          <a:ext cx="2615565" cy="64198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14</xdr:col>
      <xdr:colOff>1276351</xdr:colOff>
      <xdr:row>0</xdr:row>
      <xdr:rowOff>47625</xdr:rowOff>
    </xdr:from>
    <xdr:to>
      <xdr:col>15</xdr:col>
      <xdr:colOff>809626</xdr:colOff>
      <xdr:row>2</xdr:row>
      <xdr:rowOff>371475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63347A2-49F5-4B7B-A6F8-8D1D10D4219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3476" y="47625"/>
          <a:ext cx="1123950" cy="847725"/>
        </a:xfrm>
        <a:prstGeom prst="rect">
          <a:avLst/>
        </a:prstGeom>
        <a:noFill/>
      </xdr:spPr>
    </xdr:pic>
    <xdr:clientData/>
  </xdr:twoCellAnchor>
  <xdr:twoCellAnchor>
    <xdr:from>
      <xdr:col>1</xdr:col>
      <xdr:colOff>0</xdr:colOff>
      <xdr:row>122</xdr:row>
      <xdr:rowOff>0</xdr:rowOff>
    </xdr:from>
    <xdr:to>
      <xdr:col>8</xdr:col>
      <xdr:colOff>171450</xdr:colOff>
      <xdr:row>124</xdr:row>
      <xdr:rowOff>171450</xdr:rowOff>
    </xdr:to>
    <xdr:grpSp>
      <xdr:nvGrpSpPr>
        <xdr:cNvPr id="4" name="Grupo 3">
          <a:extLst>
            <a:ext uri="{FF2B5EF4-FFF2-40B4-BE49-F238E27FC236}">
              <a16:creationId xmlns:a16="http://schemas.microsoft.com/office/drawing/2014/main" id="{E4C7F5EB-0458-4C47-9577-5F493B44BA1B}"/>
            </a:ext>
          </a:extLst>
        </xdr:cNvPr>
        <xdr:cNvGrpSpPr/>
      </xdr:nvGrpSpPr>
      <xdr:grpSpPr>
        <a:xfrm>
          <a:off x="685800" y="57826275"/>
          <a:ext cx="7905750" cy="1123950"/>
          <a:chOff x="2895600" y="1914525"/>
          <a:chExt cx="7905750" cy="1123950"/>
        </a:xfrm>
      </xdr:grpSpPr>
      <xdr:grpSp>
        <xdr:nvGrpSpPr>
          <xdr:cNvPr id="5" name="Grupo 4">
            <a:extLst>
              <a:ext uri="{FF2B5EF4-FFF2-40B4-BE49-F238E27FC236}">
                <a16:creationId xmlns:a16="http://schemas.microsoft.com/office/drawing/2014/main" id="{FC80AC1A-C57A-4983-BEA1-3342D9825410}"/>
              </a:ext>
            </a:extLst>
          </xdr:cNvPr>
          <xdr:cNvGrpSpPr/>
        </xdr:nvGrpSpPr>
        <xdr:grpSpPr>
          <a:xfrm>
            <a:off x="2895600" y="1914525"/>
            <a:ext cx="3314700" cy="1123950"/>
            <a:chOff x="2895600" y="1914525"/>
            <a:chExt cx="3314700" cy="1123950"/>
          </a:xfrm>
        </xdr:grpSpPr>
        <xdr:cxnSp macro="">
          <xdr:nvCxnSpPr>
            <xdr:cNvPr id="10" name="Conector recto 9">
              <a:extLst>
                <a:ext uri="{FF2B5EF4-FFF2-40B4-BE49-F238E27FC236}">
                  <a16:creationId xmlns:a16="http://schemas.microsoft.com/office/drawing/2014/main" id="{264A7426-AD88-477D-878B-C4872679F396}"/>
                </a:ext>
              </a:extLst>
            </xdr:cNvPr>
            <xdr:cNvCxnSpPr/>
          </xdr:nvCxnSpPr>
          <xdr:spPr>
            <a:xfrm>
              <a:off x="2895600" y="2466975"/>
              <a:ext cx="3314700" cy="19050"/>
            </a:xfrm>
            <a:prstGeom prst="line">
              <a:avLst/>
            </a:prstGeom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sp macro="" textlink="">
          <xdr:nvSpPr>
            <xdr:cNvPr id="11" name="CuadroTexto 10">
              <a:extLst>
                <a:ext uri="{FF2B5EF4-FFF2-40B4-BE49-F238E27FC236}">
                  <a16:creationId xmlns:a16="http://schemas.microsoft.com/office/drawing/2014/main" id="{01FEE2E2-04A6-484D-B25A-7A35BB8964FF}"/>
                </a:ext>
              </a:extLst>
            </xdr:cNvPr>
            <xdr:cNvSpPr txBox="1"/>
          </xdr:nvSpPr>
          <xdr:spPr>
            <a:xfrm>
              <a:off x="3038475" y="1914525"/>
              <a:ext cx="3048000" cy="352425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lang="es-MX" sz="1100"/>
                <a:t>Responsable</a:t>
              </a:r>
            </a:p>
          </xdr:txBody>
        </xdr:sp>
        <xdr:sp macro="" textlink="">
          <xdr:nvSpPr>
            <xdr:cNvPr id="12" name="CuadroTexto 11">
              <a:extLst>
                <a:ext uri="{FF2B5EF4-FFF2-40B4-BE49-F238E27FC236}">
                  <a16:creationId xmlns:a16="http://schemas.microsoft.com/office/drawing/2014/main" id="{ABD01F14-D6A7-4ADC-A761-D26083147EAB}"/>
                </a:ext>
              </a:extLst>
            </xdr:cNvPr>
            <xdr:cNvSpPr txBox="1"/>
          </xdr:nvSpPr>
          <xdr:spPr>
            <a:xfrm>
              <a:off x="3048000" y="2686050"/>
              <a:ext cx="3048000" cy="352425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lang="es-MX" sz="1100"/>
                <a:t>Puesto</a:t>
              </a:r>
            </a:p>
          </xdr:txBody>
        </xdr:sp>
      </xdr:grpSp>
      <xdr:grpSp>
        <xdr:nvGrpSpPr>
          <xdr:cNvPr id="6" name="Grupo 5">
            <a:extLst>
              <a:ext uri="{FF2B5EF4-FFF2-40B4-BE49-F238E27FC236}">
                <a16:creationId xmlns:a16="http://schemas.microsoft.com/office/drawing/2014/main" id="{9AE9B790-229D-4530-908D-E96417C9BC69}"/>
              </a:ext>
            </a:extLst>
          </xdr:cNvPr>
          <xdr:cNvGrpSpPr/>
        </xdr:nvGrpSpPr>
        <xdr:grpSpPr>
          <a:xfrm>
            <a:off x="7486650" y="1924050"/>
            <a:ext cx="3314700" cy="1114425"/>
            <a:chOff x="7486650" y="1924050"/>
            <a:chExt cx="3314700" cy="1114425"/>
          </a:xfrm>
        </xdr:grpSpPr>
        <xdr:cxnSp macro="">
          <xdr:nvCxnSpPr>
            <xdr:cNvPr id="7" name="Conector recto 6">
              <a:extLst>
                <a:ext uri="{FF2B5EF4-FFF2-40B4-BE49-F238E27FC236}">
                  <a16:creationId xmlns:a16="http://schemas.microsoft.com/office/drawing/2014/main" id="{EB109FD1-D006-43B3-B0E7-C30C95A5319E}"/>
                </a:ext>
              </a:extLst>
            </xdr:cNvPr>
            <xdr:cNvCxnSpPr/>
          </xdr:nvCxnSpPr>
          <xdr:spPr>
            <a:xfrm>
              <a:off x="7486650" y="2466975"/>
              <a:ext cx="3314700" cy="19050"/>
            </a:xfrm>
            <a:prstGeom prst="line">
              <a:avLst/>
            </a:prstGeom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sp macro="" textlink="">
          <xdr:nvSpPr>
            <xdr:cNvPr id="8" name="CuadroTexto 7">
              <a:extLst>
                <a:ext uri="{FF2B5EF4-FFF2-40B4-BE49-F238E27FC236}">
                  <a16:creationId xmlns:a16="http://schemas.microsoft.com/office/drawing/2014/main" id="{445AB3F5-F40F-4273-8226-71098D573D22}"/>
                </a:ext>
              </a:extLst>
            </xdr:cNvPr>
            <xdr:cNvSpPr txBox="1"/>
          </xdr:nvSpPr>
          <xdr:spPr>
            <a:xfrm>
              <a:off x="7620000" y="1924050"/>
              <a:ext cx="3048000" cy="352425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lang="es-MX" sz="1100"/>
                <a:t>Elaboró</a:t>
              </a:r>
            </a:p>
          </xdr:txBody>
        </xdr:sp>
        <xdr:sp macro="" textlink="">
          <xdr:nvSpPr>
            <xdr:cNvPr id="9" name="CuadroTexto 8">
              <a:extLst>
                <a:ext uri="{FF2B5EF4-FFF2-40B4-BE49-F238E27FC236}">
                  <a16:creationId xmlns:a16="http://schemas.microsoft.com/office/drawing/2014/main" id="{039D968B-D0BF-4817-9D6D-B1AA5A488F52}"/>
                </a:ext>
              </a:extLst>
            </xdr:cNvPr>
            <xdr:cNvSpPr txBox="1"/>
          </xdr:nvSpPr>
          <xdr:spPr>
            <a:xfrm>
              <a:off x="7629525" y="2686050"/>
              <a:ext cx="3048000" cy="352425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lang="es-MX" sz="1100"/>
                <a:t>Puesto</a:t>
              </a:r>
            </a:p>
          </xdr:txBody>
        </xdr:sp>
      </xdr:grpSp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41413</xdr:colOff>
      <xdr:row>0</xdr:row>
      <xdr:rowOff>33131</xdr:rowOff>
    </xdr:from>
    <xdr:to>
      <xdr:col>2</xdr:col>
      <xdr:colOff>563217</xdr:colOff>
      <xdr:row>2</xdr:row>
      <xdr:rowOff>248478</xdr:rowOff>
    </xdr:to>
    <xdr:pic>
      <xdr:nvPicPr>
        <xdr:cNvPr id="2" name="Imagen 1" descr=" ">
          <a:extLst>
            <a:ext uri="{FF2B5EF4-FFF2-40B4-BE49-F238E27FC236}">
              <a16:creationId xmlns:a16="http://schemas.microsoft.com/office/drawing/2014/main" id="{76742D0C-B695-4FCE-83A0-0E7A848CB295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413" y="33131"/>
          <a:ext cx="2379179" cy="73922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0</xdr:colOff>
      <xdr:row>50</xdr:row>
      <xdr:rowOff>0</xdr:rowOff>
    </xdr:from>
    <xdr:to>
      <xdr:col>7</xdr:col>
      <xdr:colOff>1658937</xdr:colOff>
      <xdr:row>52</xdr:row>
      <xdr:rowOff>171450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22778DA5-EBEC-4F61-9403-A3F89E1B4E62}"/>
            </a:ext>
          </a:extLst>
        </xdr:cNvPr>
        <xdr:cNvGrpSpPr/>
      </xdr:nvGrpSpPr>
      <xdr:grpSpPr>
        <a:xfrm>
          <a:off x="682625" y="23455313"/>
          <a:ext cx="7905750" cy="1123950"/>
          <a:chOff x="2895600" y="1914525"/>
          <a:chExt cx="7905750" cy="1123950"/>
        </a:xfrm>
      </xdr:grpSpPr>
      <xdr:grpSp>
        <xdr:nvGrpSpPr>
          <xdr:cNvPr id="4" name="Grupo 3">
            <a:extLst>
              <a:ext uri="{FF2B5EF4-FFF2-40B4-BE49-F238E27FC236}">
                <a16:creationId xmlns:a16="http://schemas.microsoft.com/office/drawing/2014/main" id="{B84F2B1E-589B-4953-99C4-C701B5B12B49}"/>
              </a:ext>
            </a:extLst>
          </xdr:cNvPr>
          <xdr:cNvGrpSpPr/>
        </xdr:nvGrpSpPr>
        <xdr:grpSpPr>
          <a:xfrm>
            <a:off x="2895600" y="1914525"/>
            <a:ext cx="3314700" cy="1123950"/>
            <a:chOff x="2895600" y="1914525"/>
            <a:chExt cx="3314700" cy="1123950"/>
          </a:xfrm>
        </xdr:grpSpPr>
        <xdr:cxnSp macro="">
          <xdr:nvCxnSpPr>
            <xdr:cNvPr id="9" name="Conector recto 8">
              <a:extLst>
                <a:ext uri="{FF2B5EF4-FFF2-40B4-BE49-F238E27FC236}">
                  <a16:creationId xmlns:a16="http://schemas.microsoft.com/office/drawing/2014/main" id="{DD87D7A4-3785-4841-A971-D263CF721BF2}"/>
                </a:ext>
              </a:extLst>
            </xdr:cNvPr>
            <xdr:cNvCxnSpPr/>
          </xdr:nvCxnSpPr>
          <xdr:spPr>
            <a:xfrm>
              <a:off x="2895600" y="2466975"/>
              <a:ext cx="3314700" cy="19050"/>
            </a:xfrm>
            <a:prstGeom prst="line">
              <a:avLst/>
            </a:prstGeom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sp macro="" textlink="">
          <xdr:nvSpPr>
            <xdr:cNvPr id="10" name="CuadroTexto 9">
              <a:extLst>
                <a:ext uri="{FF2B5EF4-FFF2-40B4-BE49-F238E27FC236}">
                  <a16:creationId xmlns:a16="http://schemas.microsoft.com/office/drawing/2014/main" id="{02EDA6CB-FE66-46CF-A411-23A1C0055A82}"/>
                </a:ext>
              </a:extLst>
            </xdr:cNvPr>
            <xdr:cNvSpPr txBox="1"/>
          </xdr:nvSpPr>
          <xdr:spPr>
            <a:xfrm>
              <a:off x="3038475" y="1914525"/>
              <a:ext cx="3048000" cy="352425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lang="es-MX" sz="1100"/>
                <a:t>Responsable</a:t>
              </a:r>
            </a:p>
          </xdr:txBody>
        </xdr:sp>
        <xdr:sp macro="" textlink="">
          <xdr:nvSpPr>
            <xdr:cNvPr id="11" name="CuadroTexto 10">
              <a:extLst>
                <a:ext uri="{FF2B5EF4-FFF2-40B4-BE49-F238E27FC236}">
                  <a16:creationId xmlns:a16="http://schemas.microsoft.com/office/drawing/2014/main" id="{5A55CB37-CDE4-4DFC-93BF-8C9AF7F55200}"/>
                </a:ext>
              </a:extLst>
            </xdr:cNvPr>
            <xdr:cNvSpPr txBox="1"/>
          </xdr:nvSpPr>
          <xdr:spPr>
            <a:xfrm>
              <a:off x="3048000" y="2686050"/>
              <a:ext cx="3048000" cy="352425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lang="es-MX" sz="1100"/>
                <a:t>Puesto</a:t>
              </a:r>
            </a:p>
          </xdr:txBody>
        </xdr:sp>
      </xdr:grpSp>
      <xdr:grpSp>
        <xdr:nvGrpSpPr>
          <xdr:cNvPr id="5" name="Grupo 4">
            <a:extLst>
              <a:ext uri="{FF2B5EF4-FFF2-40B4-BE49-F238E27FC236}">
                <a16:creationId xmlns:a16="http://schemas.microsoft.com/office/drawing/2014/main" id="{A13DFC2E-535D-4E20-A220-23B5935FD48F}"/>
              </a:ext>
            </a:extLst>
          </xdr:cNvPr>
          <xdr:cNvGrpSpPr/>
        </xdr:nvGrpSpPr>
        <xdr:grpSpPr>
          <a:xfrm>
            <a:off x="7486650" y="1924050"/>
            <a:ext cx="3314700" cy="1114425"/>
            <a:chOff x="7486650" y="1924050"/>
            <a:chExt cx="3314700" cy="1114425"/>
          </a:xfrm>
        </xdr:grpSpPr>
        <xdr:cxnSp macro="">
          <xdr:nvCxnSpPr>
            <xdr:cNvPr id="6" name="Conector recto 5">
              <a:extLst>
                <a:ext uri="{FF2B5EF4-FFF2-40B4-BE49-F238E27FC236}">
                  <a16:creationId xmlns:a16="http://schemas.microsoft.com/office/drawing/2014/main" id="{30C32013-6C15-4BE6-A5A7-65B662F7D7D7}"/>
                </a:ext>
              </a:extLst>
            </xdr:cNvPr>
            <xdr:cNvCxnSpPr/>
          </xdr:nvCxnSpPr>
          <xdr:spPr>
            <a:xfrm>
              <a:off x="7486650" y="2466975"/>
              <a:ext cx="3314700" cy="19050"/>
            </a:xfrm>
            <a:prstGeom prst="line">
              <a:avLst/>
            </a:prstGeom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sp macro="" textlink="">
          <xdr:nvSpPr>
            <xdr:cNvPr id="7" name="CuadroTexto 6">
              <a:extLst>
                <a:ext uri="{FF2B5EF4-FFF2-40B4-BE49-F238E27FC236}">
                  <a16:creationId xmlns:a16="http://schemas.microsoft.com/office/drawing/2014/main" id="{C352BA5E-9C5A-4701-9E52-50F1A8FD00DA}"/>
                </a:ext>
              </a:extLst>
            </xdr:cNvPr>
            <xdr:cNvSpPr txBox="1"/>
          </xdr:nvSpPr>
          <xdr:spPr>
            <a:xfrm>
              <a:off x="7620000" y="1924050"/>
              <a:ext cx="3048000" cy="352425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lang="es-MX" sz="1100"/>
                <a:t>Elaboró</a:t>
              </a:r>
            </a:p>
          </xdr:txBody>
        </xdr:sp>
        <xdr:sp macro="" textlink="">
          <xdr:nvSpPr>
            <xdr:cNvPr id="8" name="CuadroTexto 7">
              <a:extLst>
                <a:ext uri="{FF2B5EF4-FFF2-40B4-BE49-F238E27FC236}">
                  <a16:creationId xmlns:a16="http://schemas.microsoft.com/office/drawing/2014/main" id="{0E40A7EB-EB47-4DCD-86BA-8B8BC347DC9D}"/>
                </a:ext>
              </a:extLst>
            </xdr:cNvPr>
            <xdr:cNvSpPr txBox="1"/>
          </xdr:nvSpPr>
          <xdr:spPr>
            <a:xfrm>
              <a:off x="7629525" y="2686050"/>
              <a:ext cx="3048000" cy="352425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lang="es-MX" sz="1100"/>
                <a:t>Puesto</a:t>
              </a:r>
            </a:p>
          </xdr:txBody>
        </xdr:sp>
      </xdr:grpSp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41413</xdr:colOff>
      <xdr:row>0</xdr:row>
      <xdr:rowOff>33131</xdr:rowOff>
    </xdr:from>
    <xdr:to>
      <xdr:col>2</xdr:col>
      <xdr:colOff>430892</xdr:colOff>
      <xdr:row>2</xdr:row>
      <xdr:rowOff>238125</xdr:rowOff>
    </xdr:to>
    <xdr:pic>
      <xdr:nvPicPr>
        <xdr:cNvPr id="2" name="Imagen 1" descr=" ">
          <a:extLst>
            <a:ext uri="{FF2B5EF4-FFF2-40B4-BE49-F238E27FC236}">
              <a16:creationId xmlns:a16="http://schemas.microsoft.com/office/drawing/2014/main" id="{2B262775-8578-40C8-B133-9E19993EAF82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413" y="33131"/>
          <a:ext cx="2246854" cy="72886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0</xdr:colOff>
      <xdr:row>27</xdr:row>
      <xdr:rowOff>0</xdr:rowOff>
    </xdr:from>
    <xdr:to>
      <xdr:col>7</xdr:col>
      <xdr:colOff>1714500</xdr:colOff>
      <xdr:row>29</xdr:row>
      <xdr:rowOff>171450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90E505CC-F661-4614-91D1-9BF3BF24E81D}"/>
            </a:ext>
          </a:extLst>
        </xdr:cNvPr>
        <xdr:cNvGrpSpPr/>
      </xdr:nvGrpSpPr>
      <xdr:grpSpPr>
        <a:xfrm>
          <a:off x="683559" y="12629029"/>
          <a:ext cx="7911353" cy="1135156"/>
          <a:chOff x="2895600" y="1914525"/>
          <a:chExt cx="7905750" cy="1123950"/>
        </a:xfrm>
      </xdr:grpSpPr>
      <xdr:grpSp>
        <xdr:nvGrpSpPr>
          <xdr:cNvPr id="4" name="Grupo 3">
            <a:extLst>
              <a:ext uri="{FF2B5EF4-FFF2-40B4-BE49-F238E27FC236}">
                <a16:creationId xmlns:a16="http://schemas.microsoft.com/office/drawing/2014/main" id="{A7666761-4B09-4441-820D-20BDB0819F1C}"/>
              </a:ext>
            </a:extLst>
          </xdr:cNvPr>
          <xdr:cNvGrpSpPr/>
        </xdr:nvGrpSpPr>
        <xdr:grpSpPr>
          <a:xfrm>
            <a:off x="2895600" y="1914525"/>
            <a:ext cx="3314700" cy="1123950"/>
            <a:chOff x="2895600" y="1914525"/>
            <a:chExt cx="3314700" cy="1123950"/>
          </a:xfrm>
        </xdr:grpSpPr>
        <xdr:cxnSp macro="">
          <xdr:nvCxnSpPr>
            <xdr:cNvPr id="9" name="Conector recto 8">
              <a:extLst>
                <a:ext uri="{FF2B5EF4-FFF2-40B4-BE49-F238E27FC236}">
                  <a16:creationId xmlns:a16="http://schemas.microsoft.com/office/drawing/2014/main" id="{EB566DFB-49E2-4214-AE38-65BC8BBA9E60}"/>
                </a:ext>
              </a:extLst>
            </xdr:cNvPr>
            <xdr:cNvCxnSpPr/>
          </xdr:nvCxnSpPr>
          <xdr:spPr>
            <a:xfrm>
              <a:off x="2895600" y="2466975"/>
              <a:ext cx="3314700" cy="19050"/>
            </a:xfrm>
            <a:prstGeom prst="line">
              <a:avLst/>
            </a:prstGeom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sp macro="" textlink="">
          <xdr:nvSpPr>
            <xdr:cNvPr id="10" name="CuadroTexto 9">
              <a:extLst>
                <a:ext uri="{FF2B5EF4-FFF2-40B4-BE49-F238E27FC236}">
                  <a16:creationId xmlns:a16="http://schemas.microsoft.com/office/drawing/2014/main" id="{FA7E2947-6890-4063-BAB9-693363F7AF5F}"/>
                </a:ext>
              </a:extLst>
            </xdr:cNvPr>
            <xdr:cNvSpPr txBox="1"/>
          </xdr:nvSpPr>
          <xdr:spPr>
            <a:xfrm>
              <a:off x="3038475" y="1914525"/>
              <a:ext cx="3048000" cy="352425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lang="es-MX" sz="1100"/>
                <a:t>Responsable</a:t>
              </a:r>
            </a:p>
          </xdr:txBody>
        </xdr:sp>
        <xdr:sp macro="" textlink="">
          <xdr:nvSpPr>
            <xdr:cNvPr id="11" name="CuadroTexto 10">
              <a:extLst>
                <a:ext uri="{FF2B5EF4-FFF2-40B4-BE49-F238E27FC236}">
                  <a16:creationId xmlns:a16="http://schemas.microsoft.com/office/drawing/2014/main" id="{EE0CB08C-70E9-4B73-9EF0-6B8060D4FDC5}"/>
                </a:ext>
              </a:extLst>
            </xdr:cNvPr>
            <xdr:cNvSpPr txBox="1"/>
          </xdr:nvSpPr>
          <xdr:spPr>
            <a:xfrm>
              <a:off x="3048000" y="2686050"/>
              <a:ext cx="3048000" cy="352425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lang="es-MX" sz="1100"/>
                <a:t>Puesto</a:t>
              </a:r>
            </a:p>
          </xdr:txBody>
        </xdr:sp>
      </xdr:grpSp>
      <xdr:grpSp>
        <xdr:nvGrpSpPr>
          <xdr:cNvPr id="5" name="Grupo 4">
            <a:extLst>
              <a:ext uri="{FF2B5EF4-FFF2-40B4-BE49-F238E27FC236}">
                <a16:creationId xmlns:a16="http://schemas.microsoft.com/office/drawing/2014/main" id="{0AD408EA-6783-4429-9824-1EDC2FD0D289}"/>
              </a:ext>
            </a:extLst>
          </xdr:cNvPr>
          <xdr:cNvGrpSpPr/>
        </xdr:nvGrpSpPr>
        <xdr:grpSpPr>
          <a:xfrm>
            <a:off x="7486650" y="1924050"/>
            <a:ext cx="3314700" cy="1114425"/>
            <a:chOff x="7486650" y="1924050"/>
            <a:chExt cx="3314700" cy="1114425"/>
          </a:xfrm>
        </xdr:grpSpPr>
        <xdr:cxnSp macro="">
          <xdr:nvCxnSpPr>
            <xdr:cNvPr id="6" name="Conector recto 5">
              <a:extLst>
                <a:ext uri="{FF2B5EF4-FFF2-40B4-BE49-F238E27FC236}">
                  <a16:creationId xmlns:a16="http://schemas.microsoft.com/office/drawing/2014/main" id="{721E8126-5DA0-481B-B490-950B7E0E3DEF}"/>
                </a:ext>
              </a:extLst>
            </xdr:cNvPr>
            <xdr:cNvCxnSpPr/>
          </xdr:nvCxnSpPr>
          <xdr:spPr>
            <a:xfrm>
              <a:off x="7486650" y="2466975"/>
              <a:ext cx="3314700" cy="19050"/>
            </a:xfrm>
            <a:prstGeom prst="line">
              <a:avLst/>
            </a:prstGeom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sp macro="" textlink="">
          <xdr:nvSpPr>
            <xdr:cNvPr id="7" name="CuadroTexto 6">
              <a:extLst>
                <a:ext uri="{FF2B5EF4-FFF2-40B4-BE49-F238E27FC236}">
                  <a16:creationId xmlns:a16="http://schemas.microsoft.com/office/drawing/2014/main" id="{47359127-B42B-43D5-850E-53FC0B20A6DA}"/>
                </a:ext>
              </a:extLst>
            </xdr:cNvPr>
            <xdr:cNvSpPr txBox="1"/>
          </xdr:nvSpPr>
          <xdr:spPr>
            <a:xfrm>
              <a:off x="7620000" y="1924050"/>
              <a:ext cx="3048000" cy="352425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lang="es-MX" sz="1100"/>
                <a:t>Elaboró</a:t>
              </a:r>
            </a:p>
          </xdr:txBody>
        </xdr:sp>
        <xdr:sp macro="" textlink="">
          <xdr:nvSpPr>
            <xdr:cNvPr id="8" name="CuadroTexto 7">
              <a:extLst>
                <a:ext uri="{FF2B5EF4-FFF2-40B4-BE49-F238E27FC236}">
                  <a16:creationId xmlns:a16="http://schemas.microsoft.com/office/drawing/2014/main" id="{18355224-CDFF-4C50-B525-E025F62C4F5C}"/>
                </a:ext>
              </a:extLst>
            </xdr:cNvPr>
            <xdr:cNvSpPr txBox="1"/>
          </xdr:nvSpPr>
          <xdr:spPr>
            <a:xfrm>
              <a:off x="7629525" y="2686050"/>
              <a:ext cx="3048000" cy="352425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lang="es-MX" sz="1100"/>
                <a:t>Puesto</a:t>
              </a:r>
            </a:p>
          </xdr:txBody>
        </xdr:sp>
      </xdr:grp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ublico/ALONDRA%20AM&#201;ZQUITA/PAAS/PAAAS%202025/CG/CG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Publico/ALONDRA%20AM&#201;ZQUITA/PAAS/PAAAS%202025/SCJ/SCJ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Publico/Omar/Programa%20Anual%20de%20Adquisiciones%20Arrendamientos%20y%20Servicios%20Ejercicio%202025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c175e227a3c16a5c/Escritorio/FORMATO%20PAAAS%20(SUBSECRETARIA%20DE%20FINANZAS)%20-%20copia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Publico/ALONDRA%20AM&#201;ZQUITA/PAAS/PAAAS%202025/SSP/SSPPPPPPP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Publico/ALONDRA%20AM&#201;ZQUITA/PAAS/PAAAS%202025/STByDS/STByDS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Publico/ALONDRA%20AM&#201;ZQUITA/PAAS/PAAAS%202025/CCL/FORMATO%20PAAS%2020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oorEjec2\Downloads\FORMATO%20PAAAS%2020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Publico/ALONDRA%20AM&#201;ZQUITA/PAAS/PAAAS%202025/SEP/FORMATO%20PAAS%202025%20-%20ESTATAL%20530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Publico/ALONDRA%20AM&#201;ZQUITA/PAAS/PAAAS%202025/SEP/FORMATO%20PAAS%202025%20-%20FONE%20536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Publico/ALONDRA%20AM&#201;ZQUITA/PAAS/PAAAS%202025/SEPADA/SEPADA%20FORMATO%20PAAS%2002%20DICIEMBRE%202025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Publico/ALONDRA%20AM&#201;ZQUITA/PAAS/PAAAS%202025/SEPUIMM/SEPUIMM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FContabilidad2\Downloads\PAAS%202025al%2015%20de%20sept.%20(3)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Publico/ALONDRA%20AM&#201;ZQUITA/PAAS/PAAAS%202025/SSG/SGG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PAAS%202024%20ACTUALIZADO%20A%20JUNIO\FORMATO%20PAAS%202024%20-actualizado%20a%20junio%20-SGG%20DESCONCENTRAD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AS"/>
      <sheetName val="CAPITULO"/>
      <sheetName val="PARTIDA"/>
      <sheetName val="COG"/>
      <sheetName val="FF"/>
      <sheetName val="PROCED"/>
    </sheetNames>
    <sheetDataSet>
      <sheetData sheetId="0"/>
      <sheetData sheetId="1"/>
      <sheetData sheetId="2">
        <row r="2">
          <cell r="H2" t="str">
            <v>MATERIALES</v>
          </cell>
        </row>
        <row r="3">
          <cell r="H3" t="str">
            <v>SERVICIOS</v>
          </cell>
        </row>
        <row r="4">
          <cell r="H4" t="str">
            <v>BIENES</v>
          </cell>
        </row>
      </sheetData>
      <sheetData sheetId="3">
        <row r="1">
          <cell r="A1" t="str">
            <v>CUENTA</v>
          </cell>
          <cell r="B1" t="str">
            <v>CONCEPTO</v>
          </cell>
          <cell r="C1" t="str">
            <v>AFECTABLE/ NO
AFECTABLE</v>
          </cell>
        </row>
        <row r="2">
          <cell r="A2">
            <v>210000</v>
          </cell>
          <cell r="B2" t="str">
            <v>MATERIALES DE ADMINISTRACIÓN, EMISIÓN DE DOCUMENTOS Y ARTÍCULO OFICIALES</v>
          </cell>
          <cell r="C2" t="str">
            <v>N</v>
          </cell>
        </row>
        <row r="3">
          <cell r="A3">
            <v>211000</v>
          </cell>
          <cell r="B3" t="str">
            <v>Materiales, útiles y equipos menores de oficina</v>
          </cell>
          <cell r="C3" t="str">
            <v>N</v>
          </cell>
        </row>
        <row r="4">
          <cell r="A4">
            <v>211001</v>
          </cell>
          <cell r="B4" t="str">
            <v>Material de oficina</v>
          </cell>
          <cell r="C4" t="str">
            <v>S</v>
          </cell>
        </row>
        <row r="5">
          <cell r="A5">
            <v>212000</v>
          </cell>
          <cell r="B5" t="str">
            <v>Materiales y útiles de impresión y reproducción</v>
          </cell>
          <cell r="C5" t="str">
            <v>N</v>
          </cell>
        </row>
        <row r="6">
          <cell r="A6">
            <v>212001</v>
          </cell>
          <cell r="B6" t="str">
            <v>Material y útiles de impresión</v>
          </cell>
          <cell r="C6" t="str">
            <v>S</v>
          </cell>
        </row>
        <row r="7">
          <cell r="A7">
            <v>213000</v>
          </cell>
          <cell r="B7" t="str">
            <v>Material estadístico y geográfico</v>
          </cell>
          <cell r="C7" t="str">
            <v>N</v>
          </cell>
        </row>
        <row r="8">
          <cell r="A8">
            <v>213001</v>
          </cell>
          <cell r="B8" t="str">
            <v>Material estadístico y geográfico</v>
          </cell>
          <cell r="C8" t="str">
            <v>S</v>
          </cell>
        </row>
        <row r="9">
          <cell r="A9">
            <v>214000</v>
          </cell>
          <cell r="B9" t="str">
            <v>Materiales, útiles y equipos menores de tecnologías de la información y comunicaciones</v>
          </cell>
          <cell r="C9" t="str">
            <v>N</v>
          </cell>
        </row>
        <row r="10">
          <cell r="A10">
            <v>214001</v>
          </cell>
          <cell r="B10" t="str">
            <v>Materiales, útiles y equipos menores de tecnologías de la información y comunicaciones</v>
          </cell>
          <cell r="C10" t="str">
            <v>S</v>
          </cell>
        </row>
        <row r="11">
          <cell r="A11">
            <v>215000</v>
          </cell>
          <cell r="B11" t="str">
            <v>Material impreso e información digital</v>
          </cell>
          <cell r="C11" t="str">
            <v>N</v>
          </cell>
        </row>
        <row r="12">
          <cell r="A12">
            <v>215001</v>
          </cell>
          <cell r="B12" t="str">
            <v>Material didáctico</v>
          </cell>
          <cell r="C12" t="str">
            <v>S</v>
          </cell>
        </row>
        <row r="13">
          <cell r="A13">
            <v>215002</v>
          </cell>
          <cell r="B13" t="str">
            <v>Suscripciones a Periódicos, Revistas y Publicaciones Especializadas</v>
          </cell>
          <cell r="C13" t="str">
            <v>S</v>
          </cell>
        </row>
        <row r="14">
          <cell r="A14">
            <v>215003</v>
          </cell>
          <cell r="B14" t="str">
            <v>Material impreso e información digital</v>
          </cell>
          <cell r="C14" t="str">
            <v>S</v>
          </cell>
        </row>
        <row r="15">
          <cell r="A15">
            <v>216000</v>
          </cell>
          <cell r="B15" t="str">
            <v>Material de limpieza</v>
          </cell>
          <cell r="C15" t="str">
            <v>N</v>
          </cell>
        </row>
        <row r="16">
          <cell r="A16">
            <v>216001</v>
          </cell>
          <cell r="B16" t="str">
            <v>Material de limpieza</v>
          </cell>
          <cell r="C16" t="str">
            <v>S</v>
          </cell>
        </row>
        <row r="17">
          <cell r="A17">
            <v>217000</v>
          </cell>
          <cell r="B17" t="str">
            <v>Materiales y útiles de enseñanza</v>
          </cell>
          <cell r="C17" t="str">
            <v>N</v>
          </cell>
        </row>
        <row r="18">
          <cell r="A18">
            <v>217001</v>
          </cell>
          <cell r="B18" t="str">
            <v>Materiales y útiles de enseñanza</v>
          </cell>
          <cell r="C18" t="str">
            <v>S</v>
          </cell>
        </row>
        <row r="19">
          <cell r="A19">
            <v>218000</v>
          </cell>
          <cell r="B19" t="str">
            <v>Materiales para el registro e identificación de bienes y personas</v>
          </cell>
          <cell r="C19" t="str">
            <v>N</v>
          </cell>
        </row>
        <row r="20">
          <cell r="A20">
            <v>218001</v>
          </cell>
          <cell r="B20" t="str">
            <v>Materiales para el registro e identificación de bienes y personas</v>
          </cell>
          <cell r="C20" t="str">
            <v>S</v>
          </cell>
        </row>
        <row r="21">
          <cell r="A21">
            <v>218002</v>
          </cell>
          <cell r="B21" t="str">
            <v>Placas, Engomados, Calcomanías y Hologramas</v>
          </cell>
          <cell r="C21" t="str">
            <v>S</v>
          </cell>
        </row>
        <row r="22">
          <cell r="A22">
            <v>218003</v>
          </cell>
          <cell r="B22" t="str">
            <v>Emisión de Licencias de Conducir</v>
          </cell>
          <cell r="C22" t="str">
            <v>S</v>
          </cell>
        </row>
        <row r="23">
          <cell r="A23">
            <v>218004</v>
          </cell>
          <cell r="B23" t="str">
            <v>Emisión de Formatos Únicos de Control Vehicular</v>
          </cell>
          <cell r="C23" t="str">
            <v>S</v>
          </cell>
        </row>
        <row r="24">
          <cell r="A24">
            <v>220000</v>
          </cell>
          <cell r="B24" t="str">
            <v>ALIMENTOS Y UTENSILIOS</v>
          </cell>
          <cell r="C24" t="str">
            <v>N</v>
          </cell>
        </row>
        <row r="25">
          <cell r="A25">
            <v>221000</v>
          </cell>
          <cell r="B25" t="str">
            <v>Productos alimenticios para personas</v>
          </cell>
          <cell r="C25" t="str">
            <v>N</v>
          </cell>
        </row>
        <row r="26">
          <cell r="A26">
            <v>221001</v>
          </cell>
          <cell r="B26" t="str">
            <v>Alimentación de personas</v>
          </cell>
          <cell r="C26" t="str">
            <v>S</v>
          </cell>
        </row>
        <row r="27">
          <cell r="A27">
            <v>222000</v>
          </cell>
          <cell r="B27" t="str">
            <v>Productos alimenticios para animales</v>
          </cell>
          <cell r="C27" t="str">
            <v>N</v>
          </cell>
        </row>
        <row r="28">
          <cell r="A28">
            <v>222001</v>
          </cell>
          <cell r="B28" t="str">
            <v>Alimentación de animales</v>
          </cell>
          <cell r="C28" t="str">
            <v>S</v>
          </cell>
        </row>
        <row r="29">
          <cell r="A29">
            <v>223000</v>
          </cell>
          <cell r="B29" t="str">
            <v>Utensilios para el servicio de alimentación</v>
          </cell>
          <cell r="C29" t="str">
            <v>N</v>
          </cell>
        </row>
        <row r="30">
          <cell r="A30">
            <v>223001</v>
          </cell>
          <cell r="B30" t="str">
            <v>Utensilios para el servicio de alimentación</v>
          </cell>
          <cell r="C30" t="str">
            <v>S</v>
          </cell>
        </row>
        <row r="31">
          <cell r="A31">
            <v>230000</v>
          </cell>
          <cell r="B31" t="str">
            <v>MATERIAS PRIMAS Y MATERIALES DE PRODUCCIÓN Y COMERCIALIZACIÓN</v>
          </cell>
          <cell r="C31" t="str">
            <v>N</v>
          </cell>
        </row>
        <row r="32">
          <cell r="A32">
            <v>231000</v>
          </cell>
          <cell r="B32" t="str">
            <v>Productos alimenticios, agropecuarios y forestales adquiridos como materia prima</v>
          </cell>
          <cell r="C32" t="str">
            <v>N</v>
          </cell>
        </row>
        <row r="33">
          <cell r="A33">
            <v>231001</v>
          </cell>
          <cell r="B33" t="str">
            <v>Materias primas para producción</v>
          </cell>
          <cell r="C33" t="str">
            <v>S</v>
          </cell>
        </row>
        <row r="34">
          <cell r="A34">
            <v>232000</v>
          </cell>
          <cell r="B34" t="str">
            <v>Insumos textiles adquiridos como materia prima</v>
          </cell>
          <cell r="C34" t="str">
            <v>N</v>
          </cell>
        </row>
        <row r="35">
          <cell r="A35">
            <v>232001</v>
          </cell>
          <cell r="B35" t="str">
            <v>Insumos textiles adquiridos como materia prima</v>
          </cell>
          <cell r="C35" t="str">
            <v>S</v>
          </cell>
        </row>
        <row r="36">
          <cell r="A36">
            <v>233000</v>
          </cell>
          <cell r="B36" t="str">
            <v>Productos de papel, cartón e impresos adquiridos como materia prima</v>
          </cell>
          <cell r="C36" t="str">
            <v>N</v>
          </cell>
        </row>
        <row r="37">
          <cell r="A37">
            <v>233001</v>
          </cell>
          <cell r="B37" t="str">
            <v>Productos de papel, cartón e impresos adquiridos como materia prima</v>
          </cell>
          <cell r="C37" t="str">
            <v>S</v>
          </cell>
        </row>
        <row r="38">
          <cell r="A38">
            <v>234000</v>
          </cell>
          <cell r="B38" t="str">
            <v>Combustibles, lubricantes, aditivos, carbón y sus derivados adquiridos como materia prima</v>
          </cell>
          <cell r="C38" t="str">
            <v>N</v>
          </cell>
        </row>
        <row r="39">
          <cell r="A39">
            <v>234001</v>
          </cell>
          <cell r="B39" t="str">
            <v>Combustibles, lubricantes, aditivos, carbón y sus derivados adquiridos como materia prima</v>
          </cell>
          <cell r="C39" t="str">
            <v>S</v>
          </cell>
        </row>
        <row r="40">
          <cell r="A40">
            <v>235000</v>
          </cell>
          <cell r="B40" t="str">
            <v>Productos químicos, farmacéuticos y de laboratorio adquiridos como materia prima</v>
          </cell>
          <cell r="C40" t="str">
            <v>N</v>
          </cell>
        </row>
        <row r="41">
          <cell r="A41">
            <v>235001</v>
          </cell>
          <cell r="B41" t="str">
            <v>Productos químicos, farmacéuticos y de laboratorio adquiridos como materia prima</v>
          </cell>
          <cell r="C41" t="str">
            <v>S</v>
          </cell>
        </row>
        <row r="42">
          <cell r="A42">
            <v>236000</v>
          </cell>
          <cell r="B42" t="str">
            <v>Productos metálicos y a base de minerales no metálicos adquiridos como materia prima</v>
          </cell>
          <cell r="C42" t="str">
            <v>N</v>
          </cell>
        </row>
        <row r="43">
          <cell r="A43">
            <v>236001</v>
          </cell>
          <cell r="B43" t="str">
            <v>Productos metálicos y a base de minerales no metálicos adquiridos como materia prima</v>
          </cell>
          <cell r="C43" t="str">
            <v>S</v>
          </cell>
        </row>
        <row r="44">
          <cell r="A44">
            <v>237000</v>
          </cell>
          <cell r="B44" t="str">
            <v>Productos de cuero, piel, plástico y hule adquiridos como materia prima</v>
          </cell>
          <cell r="C44" t="str">
            <v>N</v>
          </cell>
        </row>
        <row r="45">
          <cell r="A45">
            <v>237001</v>
          </cell>
          <cell r="B45" t="str">
            <v>Productos de cuero, piel, plástico y hule adquiridos como materia prima</v>
          </cell>
          <cell r="C45" t="str">
            <v>S</v>
          </cell>
        </row>
        <row r="46">
          <cell r="A46">
            <v>238000</v>
          </cell>
          <cell r="B46" t="str">
            <v>Mercancías adquiridas para su comercialización</v>
          </cell>
          <cell r="C46" t="str">
            <v>N</v>
          </cell>
        </row>
        <row r="47">
          <cell r="A47">
            <v>238001</v>
          </cell>
          <cell r="B47" t="str">
            <v>Mercancías adquiridas para su comercialización</v>
          </cell>
          <cell r="C47" t="str">
            <v>S</v>
          </cell>
        </row>
        <row r="48">
          <cell r="A48">
            <v>240000</v>
          </cell>
          <cell r="B48" t="str">
            <v>MATERIALES Y ARTÍCULOS DE CONSTRUCCIÓN Y DE REPARACIÓN</v>
          </cell>
          <cell r="C48" t="str">
            <v>N</v>
          </cell>
        </row>
        <row r="49">
          <cell r="A49">
            <v>241000</v>
          </cell>
          <cell r="B49" t="str">
            <v>Productos minerales no metálicos</v>
          </cell>
          <cell r="C49" t="str">
            <v>N</v>
          </cell>
        </row>
        <row r="50">
          <cell r="A50">
            <v>241001</v>
          </cell>
          <cell r="B50" t="str">
            <v>Productos minerales no metálicos</v>
          </cell>
          <cell r="C50" t="str">
            <v>S</v>
          </cell>
        </row>
        <row r="51">
          <cell r="A51">
            <v>242000</v>
          </cell>
          <cell r="B51" t="str">
            <v>Cemento y productos de concreto</v>
          </cell>
          <cell r="C51" t="str">
            <v>N</v>
          </cell>
        </row>
        <row r="52">
          <cell r="A52">
            <v>242001</v>
          </cell>
          <cell r="B52" t="str">
            <v>Cemento y productos de concreto</v>
          </cell>
          <cell r="C52" t="str">
            <v>S</v>
          </cell>
        </row>
        <row r="53">
          <cell r="A53">
            <v>243000</v>
          </cell>
          <cell r="B53" t="str">
            <v>Cal, yeso y productos de yeso</v>
          </cell>
          <cell r="C53" t="str">
            <v>N</v>
          </cell>
        </row>
        <row r="54">
          <cell r="A54">
            <v>243001</v>
          </cell>
          <cell r="B54" t="str">
            <v>Cal, yeso y productos de yeso</v>
          </cell>
          <cell r="C54" t="str">
            <v>S</v>
          </cell>
        </row>
        <row r="55">
          <cell r="A55">
            <v>244000</v>
          </cell>
          <cell r="B55" t="str">
            <v>Madera y productos de madera</v>
          </cell>
          <cell r="C55" t="str">
            <v>N</v>
          </cell>
        </row>
        <row r="56">
          <cell r="A56">
            <v>244001</v>
          </cell>
          <cell r="B56" t="str">
            <v>Madera y productos de madera</v>
          </cell>
          <cell r="C56" t="str">
            <v>S</v>
          </cell>
        </row>
        <row r="57">
          <cell r="A57">
            <v>245000</v>
          </cell>
          <cell r="B57" t="str">
            <v>Vidrio y productos de vidrio</v>
          </cell>
          <cell r="C57" t="str">
            <v>N</v>
          </cell>
        </row>
        <row r="58">
          <cell r="A58">
            <v>245001</v>
          </cell>
          <cell r="B58" t="str">
            <v>Vidrio y productos de vidrio</v>
          </cell>
          <cell r="C58" t="str">
            <v>S</v>
          </cell>
        </row>
        <row r="59">
          <cell r="A59">
            <v>246000</v>
          </cell>
          <cell r="B59" t="str">
            <v>Material eléctrico y electrónico</v>
          </cell>
          <cell r="C59" t="str">
            <v>N</v>
          </cell>
        </row>
        <row r="60">
          <cell r="A60">
            <v>246001</v>
          </cell>
          <cell r="B60" t="str">
            <v>Material eléctrico</v>
          </cell>
          <cell r="C60" t="str">
            <v>S</v>
          </cell>
        </row>
        <row r="61">
          <cell r="A61">
            <v>246002</v>
          </cell>
          <cell r="B61" t="str">
            <v>Material electrónico</v>
          </cell>
          <cell r="C61" t="str">
            <v>S</v>
          </cell>
        </row>
        <row r="62">
          <cell r="A62">
            <v>247000</v>
          </cell>
          <cell r="B62" t="str">
            <v>Artículos metálicos para la construcción</v>
          </cell>
          <cell r="C62" t="str">
            <v>N</v>
          </cell>
        </row>
        <row r="63">
          <cell r="A63">
            <v>247001</v>
          </cell>
          <cell r="B63" t="str">
            <v>Artículos metálicos para la construcción</v>
          </cell>
          <cell r="C63" t="str">
            <v>S</v>
          </cell>
        </row>
        <row r="64">
          <cell r="A64">
            <v>248000</v>
          </cell>
          <cell r="B64" t="str">
            <v>Materiales complementarios</v>
          </cell>
          <cell r="C64" t="str">
            <v>N</v>
          </cell>
        </row>
        <row r="65">
          <cell r="A65">
            <v>248001</v>
          </cell>
          <cell r="B65" t="str">
            <v>Materiales complementarios</v>
          </cell>
          <cell r="C65" t="str">
            <v>S</v>
          </cell>
        </row>
        <row r="66">
          <cell r="A66">
            <v>249000</v>
          </cell>
          <cell r="B66" t="str">
            <v>Otros materiales y artículos de construcción y reparación</v>
          </cell>
          <cell r="C66" t="str">
            <v>N</v>
          </cell>
        </row>
        <row r="67">
          <cell r="A67">
            <v>249001</v>
          </cell>
          <cell r="B67" t="str">
            <v>Materiales de construcción y complementarios</v>
          </cell>
          <cell r="C67" t="str">
            <v>S</v>
          </cell>
        </row>
        <row r="68">
          <cell r="A68">
            <v>249002</v>
          </cell>
          <cell r="B68" t="str">
            <v>Otros materiales de construcción y reparación</v>
          </cell>
          <cell r="C68" t="str">
            <v>S</v>
          </cell>
        </row>
        <row r="69">
          <cell r="A69">
            <v>250000</v>
          </cell>
          <cell r="B69" t="str">
            <v>PRODUCTOS QUÍMICOS, FARMACÉUTICOS Y DE LABORATORIO</v>
          </cell>
          <cell r="C69" t="str">
            <v>N</v>
          </cell>
        </row>
        <row r="70">
          <cell r="A70">
            <v>251000</v>
          </cell>
          <cell r="B70" t="str">
            <v>Productos químicos básicos</v>
          </cell>
          <cell r="C70" t="str">
            <v>N</v>
          </cell>
        </row>
        <row r="71">
          <cell r="A71">
            <v>251001</v>
          </cell>
          <cell r="B71" t="str">
            <v>Gas Refrigerante</v>
          </cell>
          <cell r="C71" t="str">
            <v>S</v>
          </cell>
        </row>
        <row r="72">
          <cell r="A72">
            <v>252000</v>
          </cell>
          <cell r="B72" t="str">
            <v>Fertilizantes, pesticidas y otros agroquímicos</v>
          </cell>
          <cell r="C72" t="str">
            <v>N</v>
          </cell>
        </row>
        <row r="73">
          <cell r="A73">
            <v>252001</v>
          </cell>
          <cell r="B73" t="str">
            <v>Fertilizantes, pesticidas y otros agroquímicos</v>
          </cell>
          <cell r="C73" t="str">
            <v>S</v>
          </cell>
        </row>
        <row r="74">
          <cell r="A74">
            <v>253000</v>
          </cell>
          <cell r="B74" t="str">
            <v>Medicinas y productos químicos, farmacéuticos</v>
          </cell>
          <cell r="C74" t="str">
            <v>N</v>
          </cell>
        </row>
        <row r="75">
          <cell r="A75">
            <v>253001</v>
          </cell>
          <cell r="B75" t="str">
            <v>Material y productos químicos, farmacéuticos</v>
          </cell>
          <cell r="C75" t="str">
            <v>S</v>
          </cell>
        </row>
        <row r="76">
          <cell r="A76">
            <v>254000</v>
          </cell>
          <cell r="B76" t="str">
            <v>Materiales, accesorios y suministros médicos</v>
          </cell>
          <cell r="C76" t="str">
            <v>N</v>
          </cell>
        </row>
        <row r="77">
          <cell r="A77">
            <v>254001</v>
          </cell>
          <cell r="B77" t="str">
            <v>Materiales, accesorios y suministros médicos</v>
          </cell>
          <cell r="C77" t="str">
            <v>S</v>
          </cell>
        </row>
        <row r="78">
          <cell r="A78">
            <v>255000</v>
          </cell>
          <cell r="B78" t="str">
            <v>Materiales, accesorios y suministros de laboratorio</v>
          </cell>
          <cell r="C78" t="str">
            <v>N</v>
          </cell>
        </row>
        <row r="79">
          <cell r="A79">
            <v>255001</v>
          </cell>
          <cell r="B79" t="str">
            <v>Materiales, accesorios y suministros de laboratorio</v>
          </cell>
          <cell r="C79" t="str">
            <v>S</v>
          </cell>
        </row>
        <row r="80">
          <cell r="A80">
            <v>256000</v>
          </cell>
          <cell r="B80" t="str">
            <v>Fibras sintéticas, hules, plásticos y derivados</v>
          </cell>
          <cell r="C80" t="str">
            <v>N</v>
          </cell>
        </row>
        <row r="81">
          <cell r="A81">
            <v>256001</v>
          </cell>
          <cell r="B81" t="str">
            <v>Fibras sintéticas, hules, plásticos y derivados</v>
          </cell>
          <cell r="C81" t="str">
            <v>S</v>
          </cell>
        </row>
        <row r="82">
          <cell r="A82">
            <v>259000</v>
          </cell>
          <cell r="B82" t="str">
            <v>Otros productos químicos</v>
          </cell>
          <cell r="C82" t="str">
            <v>N</v>
          </cell>
        </row>
        <row r="83">
          <cell r="A83">
            <v>259001</v>
          </cell>
          <cell r="B83" t="str">
            <v>Otros productos químicos</v>
          </cell>
          <cell r="C83" t="str">
            <v>S</v>
          </cell>
        </row>
        <row r="84">
          <cell r="A84">
            <v>260000</v>
          </cell>
          <cell r="B84" t="str">
            <v>COMBUSTIBLES, LUBRICANTES Y ADITIVOS</v>
          </cell>
          <cell r="C84" t="str">
            <v>N</v>
          </cell>
        </row>
        <row r="85">
          <cell r="A85">
            <v>261000</v>
          </cell>
          <cell r="B85" t="str">
            <v>Combustibles, lubricantes y aditivos</v>
          </cell>
          <cell r="C85" t="str">
            <v>N</v>
          </cell>
        </row>
        <row r="86">
          <cell r="A86">
            <v>261001</v>
          </cell>
          <cell r="B86" t="str">
            <v>Combustibles</v>
          </cell>
          <cell r="C86" t="str">
            <v>S</v>
          </cell>
        </row>
        <row r="87">
          <cell r="A87">
            <v>261002</v>
          </cell>
          <cell r="B87" t="str">
            <v>Lubricantes y aditivos</v>
          </cell>
          <cell r="C87" t="str">
            <v>S</v>
          </cell>
        </row>
        <row r="88">
          <cell r="A88">
            <v>262000</v>
          </cell>
          <cell r="B88" t="str">
            <v>Carbón y sus derivados</v>
          </cell>
          <cell r="C88" t="str">
            <v>N</v>
          </cell>
        </row>
        <row r="89">
          <cell r="A89">
            <v>262001</v>
          </cell>
          <cell r="B89" t="str">
            <v>Carbón y sus derivados</v>
          </cell>
          <cell r="C89" t="str">
            <v>S</v>
          </cell>
        </row>
        <row r="90">
          <cell r="A90">
            <v>270000</v>
          </cell>
          <cell r="B90" t="str">
            <v>VESTUARIO, BLANCOS, PRENDAS DE PROTECCIÓN Y ARTÍCULOS DEPORTIVOS</v>
          </cell>
          <cell r="C90" t="str">
            <v>N</v>
          </cell>
        </row>
        <row r="91">
          <cell r="A91">
            <v>271000</v>
          </cell>
          <cell r="B91" t="str">
            <v>Vestuario y uniformes</v>
          </cell>
          <cell r="C91" t="str">
            <v>N</v>
          </cell>
        </row>
        <row r="92">
          <cell r="A92">
            <v>271001</v>
          </cell>
          <cell r="B92" t="str">
            <v>Ropa, vestuario y equipo</v>
          </cell>
          <cell r="C92" t="str">
            <v>S</v>
          </cell>
        </row>
        <row r="93">
          <cell r="A93">
            <v>272000</v>
          </cell>
          <cell r="B93" t="str">
            <v>Prendas de seguridad y protección personal</v>
          </cell>
          <cell r="C93" t="str">
            <v>N</v>
          </cell>
        </row>
        <row r="94">
          <cell r="A94">
            <v>272001</v>
          </cell>
          <cell r="B94" t="str">
            <v>Materiales explosivos y de seguridad pública</v>
          </cell>
          <cell r="C94" t="str">
            <v>S</v>
          </cell>
        </row>
        <row r="95">
          <cell r="A95">
            <v>272002</v>
          </cell>
          <cell r="B95" t="str">
            <v>Prendas de seguridad y protección personal</v>
          </cell>
          <cell r="C95" t="str">
            <v>S</v>
          </cell>
        </row>
        <row r="96">
          <cell r="A96">
            <v>273000</v>
          </cell>
          <cell r="B96" t="str">
            <v>Artículos deportivos</v>
          </cell>
          <cell r="C96" t="str">
            <v>N</v>
          </cell>
        </row>
        <row r="97">
          <cell r="A97">
            <v>273001</v>
          </cell>
          <cell r="B97" t="str">
            <v>Artículos deportivos</v>
          </cell>
          <cell r="C97" t="str">
            <v>S</v>
          </cell>
        </row>
        <row r="98">
          <cell r="A98">
            <v>274000</v>
          </cell>
          <cell r="B98" t="str">
            <v>Productos textiles</v>
          </cell>
          <cell r="C98" t="str">
            <v>N</v>
          </cell>
        </row>
        <row r="99">
          <cell r="A99">
            <v>274001</v>
          </cell>
          <cell r="B99" t="str">
            <v>Productos textiles</v>
          </cell>
          <cell r="C99" t="str">
            <v>S</v>
          </cell>
        </row>
        <row r="100">
          <cell r="A100">
            <v>275000</v>
          </cell>
          <cell r="B100" t="str">
            <v>Blancos y otros productos textiles, excepto prendas de vestir</v>
          </cell>
          <cell r="C100" t="str">
            <v>N</v>
          </cell>
        </row>
        <row r="101">
          <cell r="A101">
            <v>275001</v>
          </cell>
          <cell r="B101" t="str">
            <v>Blancos y otros productos textiles, excepto prendas de vestir</v>
          </cell>
          <cell r="C101" t="str">
            <v>S</v>
          </cell>
        </row>
        <row r="102">
          <cell r="A102">
            <v>280000</v>
          </cell>
          <cell r="B102" t="str">
            <v>MATERIALES Y SUMINISTROS PARA SEGURIDAD</v>
          </cell>
          <cell r="C102" t="str">
            <v>N</v>
          </cell>
        </row>
        <row r="103">
          <cell r="A103">
            <v>281000</v>
          </cell>
          <cell r="B103" t="str">
            <v>Sustancias y materiales explosivos</v>
          </cell>
          <cell r="C103" t="str">
            <v>N</v>
          </cell>
        </row>
        <row r="104">
          <cell r="A104">
            <v>281001</v>
          </cell>
          <cell r="B104" t="str">
            <v>Sustancias y materiales explosivos</v>
          </cell>
          <cell r="C104" t="str">
            <v>S</v>
          </cell>
        </row>
        <row r="105">
          <cell r="A105">
            <v>282000</v>
          </cell>
          <cell r="B105" t="str">
            <v>Materiales de seguridad pública</v>
          </cell>
          <cell r="C105" t="str">
            <v>N</v>
          </cell>
        </row>
        <row r="106">
          <cell r="A106">
            <v>282001</v>
          </cell>
          <cell r="B106" t="str">
            <v>Materiales de seguridad pública</v>
          </cell>
          <cell r="C106" t="str">
            <v>S</v>
          </cell>
        </row>
        <row r="107">
          <cell r="A107">
            <v>283000</v>
          </cell>
          <cell r="B107" t="str">
            <v>Prendas de protección para seguridad pública y nacional</v>
          </cell>
          <cell r="C107" t="str">
            <v>N</v>
          </cell>
        </row>
        <row r="108">
          <cell r="A108">
            <v>283001</v>
          </cell>
          <cell r="B108" t="str">
            <v>Prendas de protección para seguridad pública</v>
          </cell>
          <cell r="C108" t="str">
            <v>S</v>
          </cell>
        </row>
        <row r="109">
          <cell r="A109">
            <v>290000</v>
          </cell>
          <cell r="B109" t="str">
            <v>HERRAMIENTAS, REFACCIONES Y ACCESORIOS MENORES</v>
          </cell>
          <cell r="C109" t="str">
            <v>N</v>
          </cell>
        </row>
        <row r="110">
          <cell r="A110">
            <v>291000</v>
          </cell>
          <cell r="B110" t="str">
            <v>Herramientas menores</v>
          </cell>
          <cell r="C110" t="str">
            <v>N</v>
          </cell>
        </row>
        <row r="111">
          <cell r="A111">
            <v>291001</v>
          </cell>
          <cell r="B111" t="str">
            <v>Herramientas Auxiliares de Trabajo</v>
          </cell>
          <cell r="C111" t="str">
            <v>S</v>
          </cell>
        </row>
        <row r="112">
          <cell r="A112">
            <v>292000</v>
          </cell>
          <cell r="B112" t="str">
            <v>Refacciones y accesorios menores de edificios</v>
          </cell>
          <cell r="C112" t="str">
            <v>N</v>
          </cell>
        </row>
        <row r="113">
          <cell r="A113">
            <v>292001</v>
          </cell>
          <cell r="B113" t="str">
            <v>Refacciones y accesorios menores de edificios (candados, cerraduras, chapas, llaves)</v>
          </cell>
          <cell r="C113" t="str">
            <v>S</v>
          </cell>
        </row>
        <row r="114">
          <cell r="A114">
            <v>293000</v>
          </cell>
          <cell r="B114" t="str">
            <v>Refacciones y accesorios menores de mobiliario y equipo de administración, educacional y recreativo</v>
          </cell>
          <cell r="C114" t="str">
            <v>N</v>
          </cell>
        </row>
        <row r="115">
          <cell r="A115">
            <v>293001</v>
          </cell>
          <cell r="B115" t="str">
            <v>Refacciones y accesorios menores de mobiliario y equipo de administración, educacional y recreativo</v>
          </cell>
          <cell r="C115" t="str">
            <v>S</v>
          </cell>
        </row>
        <row r="116">
          <cell r="A116">
            <v>294000</v>
          </cell>
          <cell r="B116" t="str">
            <v>Refacciones y accesorios menores de equipo de cómputo y tecnologías de la información</v>
          </cell>
          <cell r="C116" t="str">
            <v>N</v>
          </cell>
        </row>
        <row r="117">
          <cell r="A117">
            <v>294001</v>
          </cell>
          <cell r="B117" t="str">
            <v>Dispositivos Internos y Externos de Equipo de Computo</v>
          </cell>
          <cell r="C117" t="str">
            <v>S</v>
          </cell>
        </row>
        <row r="118">
          <cell r="A118">
            <v>294002</v>
          </cell>
          <cell r="B118" t="str">
            <v>Refacciones y Accesorios Menores de Equipo de Computo</v>
          </cell>
          <cell r="C118" t="str">
            <v>S</v>
          </cell>
        </row>
        <row r="119">
          <cell r="A119">
            <v>295000</v>
          </cell>
          <cell r="B119" t="str">
            <v>Refacciones y accesorios menores de equipo e instrumental médico y de laboratorio</v>
          </cell>
          <cell r="C119" t="str">
            <v>N</v>
          </cell>
        </row>
        <row r="120">
          <cell r="A120">
            <v>295001</v>
          </cell>
          <cell r="B120" t="str">
            <v>Refacciones y accesorios menores de equipo e instrumental médico y de laboratorio</v>
          </cell>
          <cell r="C120" t="str">
            <v>S</v>
          </cell>
        </row>
        <row r="121">
          <cell r="A121">
            <v>296000</v>
          </cell>
          <cell r="B121" t="str">
            <v>Refacciones y accesorios menores de equipo de transporte</v>
          </cell>
          <cell r="C121" t="str">
            <v>N</v>
          </cell>
        </row>
        <row r="122">
          <cell r="A122">
            <v>296001</v>
          </cell>
          <cell r="B122" t="str">
            <v>Herramientas, refacciones y accesorios</v>
          </cell>
          <cell r="C122" t="str">
            <v>S</v>
          </cell>
        </row>
        <row r="123">
          <cell r="A123">
            <v>297000</v>
          </cell>
          <cell r="B123" t="str">
            <v>Refacciones y accesorios menores de equipo de defensa y seguridad</v>
          </cell>
          <cell r="C123" t="str">
            <v>N</v>
          </cell>
        </row>
        <row r="124">
          <cell r="A124">
            <v>297001</v>
          </cell>
          <cell r="B124" t="str">
            <v>Refacciones y accesorios menores de equipo de defensa y seguridad</v>
          </cell>
          <cell r="C124" t="str">
            <v>S</v>
          </cell>
        </row>
        <row r="125">
          <cell r="A125">
            <v>298000</v>
          </cell>
          <cell r="B125" t="str">
            <v>Refacciones y accesorios menores de maquinaria y otros equipos</v>
          </cell>
          <cell r="C125" t="str">
            <v>N</v>
          </cell>
        </row>
        <row r="126">
          <cell r="A126">
            <v>298001</v>
          </cell>
          <cell r="B126" t="str">
            <v>Refacciones y accesorios menores de maquinaria y otros equipos</v>
          </cell>
          <cell r="C126" t="str">
            <v>S</v>
          </cell>
        </row>
        <row r="127">
          <cell r="A127">
            <v>299000</v>
          </cell>
          <cell r="B127" t="str">
            <v>Refacciones y accesorios menores otros bienes muebles</v>
          </cell>
          <cell r="C127" t="str">
            <v>N</v>
          </cell>
        </row>
        <row r="128">
          <cell r="A128">
            <v>299001</v>
          </cell>
          <cell r="B128" t="str">
            <v>Refacciones y accesorios menores otros bienes muebles</v>
          </cell>
          <cell r="C128" t="str">
            <v>S</v>
          </cell>
        </row>
        <row r="129">
          <cell r="A129">
            <v>300000</v>
          </cell>
          <cell r="B129" t="str">
            <v>SERVICIOS GENERALES</v>
          </cell>
          <cell r="C129" t="str">
            <v>N</v>
          </cell>
        </row>
        <row r="130">
          <cell r="A130">
            <v>310000</v>
          </cell>
          <cell r="B130" t="str">
            <v>SERVICIOS BÁSICOS</v>
          </cell>
          <cell r="C130" t="str">
            <v>N</v>
          </cell>
        </row>
        <row r="131">
          <cell r="A131">
            <v>311000</v>
          </cell>
          <cell r="B131" t="str">
            <v>Energía eléctrica</v>
          </cell>
          <cell r="C131" t="str">
            <v>N</v>
          </cell>
        </row>
        <row r="132">
          <cell r="A132">
            <v>311001</v>
          </cell>
          <cell r="B132" t="str">
            <v>Servicio de energía eléctrica</v>
          </cell>
          <cell r="C132" t="str">
            <v>S</v>
          </cell>
        </row>
        <row r="133">
          <cell r="A133">
            <v>311002</v>
          </cell>
          <cell r="B133" t="str">
            <v>Contratación del servicio de energía eléctrica</v>
          </cell>
          <cell r="C133" t="str">
            <v>S</v>
          </cell>
        </row>
        <row r="134">
          <cell r="A134">
            <v>312000</v>
          </cell>
          <cell r="B134" t="str">
            <v>Gas</v>
          </cell>
          <cell r="C134" t="str">
            <v>N</v>
          </cell>
        </row>
        <row r="135">
          <cell r="A135">
            <v>312001</v>
          </cell>
          <cell r="B135" t="str">
            <v>Servicio de Gas L.P.</v>
          </cell>
          <cell r="C135" t="str">
            <v>S</v>
          </cell>
        </row>
        <row r="136">
          <cell r="A136">
            <v>313000</v>
          </cell>
          <cell r="B136" t="str">
            <v>Agua</v>
          </cell>
          <cell r="C136" t="str">
            <v>N</v>
          </cell>
        </row>
        <row r="137">
          <cell r="A137">
            <v>313001</v>
          </cell>
          <cell r="B137" t="str">
            <v>Servicio de agua potable</v>
          </cell>
          <cell r="C137" t="str">
            <v>S</v>
          </cell>
        </row>
        <row r="138">
          <cell r="A138">
            <v>313002</v>
          </cell>
          <cell r="B138" t="str">
            <v>Contratación del servicio de agua potable</v>
          </cell>
          <cell r="C138" t="str">
            <v>S</v>
          </cell>
        </row>
        <row r="139">
          <cell r="A139">
            <v>314000</v>
          </cell>
          <cell r="B139" t="str">
            <v>Telefonía tradicional</v>
          </cell>
          <cell r="C139" t="str">
            <v>N</v>
          </cell>
        </row>
        <row r="140">
          <cell r="A140">
            <v>314001</v>
          </cell>
          <cell r="B140" t="str">
            <v>Servicio telefónico</v>
          </cell>
          <cell r="C140" t="str">
            <v>S</v>
          </cell>
        </row>
        <row r="141">
          <cell r="A141">
            <v>315000</v>
          </cell>
          <cell r="B141" t="str">
            <v>Telefonía celular</v>
          </cell>
          <cell r="C141" t="str">
            <v>N</v>
          </cell>
        </row>
        <row r="142">
          <cell r="A142">
            <v>315001</v>
          </cell>
          <cell r="B142" t="str">
            <v>Telefonía celular</v>
          </cell>
          <cell r="C142" t="str">
            <v>S</v>
          </cell>
        </row>
        <row r="143">
          <cell r="A143">
            <v>316000</v>
          </cell>
          <cell r="B143" t="str">
            <v>Servicios de telecomunicaciones y satélites</v>
          </cell>
          <cell r="C143" t="str">
            <v>N</v>
          </cell>
        </row>
        <row r="144">
          <cell r="A144">
            <v>316001</v>
          </cell>
          <cell r="B144" t="str">
            <v>Servicios de telecomunicaciones y satélites</v>
          </cell>
          <cell r="C144" t="str">
            <v>S</v>
          </cell>
        </row>
        <row r="145">
          <cell r="A145">
            <v>317000</v>
          </cell>
          <cell r="B145" t="str">
            <v>Servicios de acceso de Internet, redes y procesamiento de información</v>
          </cell>
          <cell r="C145" t="str">
            <v>N</v>
          </cell>
        </row>
        <row r="146">
          <cell r="A146">
            <v>317001</v>
          </cell>
          <cell r="B146" t="str">
            <v>Servicios de acceso de Internet, redes y procesamiento de información</v>
          </cell>
          <cell r="C146" t="str">
            <v>S</v>
          </cell>
        </row>
        <row r="147">
          <cell r="A147">
            <v>318000</v>
          </cell>
          <cell r="B147" t="str">
            <v>Servicios postales y telegráficos</v>
          </cell>
          <cell r="C147" t="str">
            <v>N</v>
          </cell>
        </row>
        <row r="148">
          <cell r="A148">
            <v>318001</v>
          </cell>
          <cell r="B148" t="str">
            <v>Servicio postal y telegráfico</v>
          </cell>
          <cell r="C148" t="str">
            <v>S</v>
          </cell>
        </row>
        <row r="149">
          <cell r="A149">
            <v>319000</v>
          </cell>
          <cell r="B149" t="str">
            <v>Servicios integrales y otros servicios</v>
          </cell>
          <cell r="C149" t="str">
            <v>N</v>
          </cell>
        </row>
        <row r="150">
          <cell r="A150">
            <v>319001</v>
          </cell>
          <cell r="B150" t="str">
            <v>Servicios Integrales</v>
          </cell>
          <cell r="C150" t="str">
            <v>S</v>
          </cell>
        </row>
        <row r="151">
          <cell r="A151">
            <v>320000</v>
          </cell>
          <cell r="B151" t="str">
            <v>SERVICIOS DE ARRENDAMIENTO</v>
          </cell>
          <cell r="C151" t="str">
            <v>N</v>
          </cell>
        </row>
        <row r="152">
          <cell r="A152">
            <v>321000</v>
          </cell>
          <cell r="B152" t="str">
            <v>Arrendamiento de terrenos</v>
          </cell>
          <cell r="C152" t="str">
            <v>N</v>
          </cell>
        </row>
        <row r="153">
          <cell r="A153">
            <v>321001</v>
          </cell>
          <cell r="B153" t="str">
            <v>Arrendamiento de terrenos</v>
          </cell>
          <cell r="C153" t="str">
            <v>S</v>
          </cell>
        </row>
        <row r="154">
          <cell r="A154">
            <v>322000</v>
          </cell>
          <cell r="B154" t="str">
            <v>Arrendamiento de edificios</v>
          </cell>
          <cell r="C154" t="str">
            <v>N</v>
          </cell>
        </row>
        <row r="155">
          <cell r="A155">
            <v>322001</v>
          </cell>
          <cell r="B155" t="str">
            <v>Arrendamiento de edificios</v>
          </cell>
          <cell r="C155" t="str">
            <v>S</v>
          </cell>
        </row>
        <row r="156">
          <cell r="A156">
            <v>323000</v>
          </cell>
          <cell r="B156" t="str">
            <v>Arrendamiento de mobiliario y equipo de administración, educacional y recreativo</v>
          </cell>
          <cell r="C156" t="str">
            <v>N</v>
          </cell>
        </row>
        <row r="157">
          <cell r="A157">
            <v>323001</v>
          </cell>
          <cell r="B157" t="str">
            <v>Arrendamiento de maquinaria y equipo</v>
          </cell>
          <cell r="C157" t="str">
            <v>S</v>
          </cell>
        </row>
        <row r="158">
          <cell r="A158">
            <v>323002</v>
          </cell>
          <cell r="B158" t="str">
            <v>Arrendamiento de maquinaria y equipo de Administración</v>
          </cell>
          <cell r="C158" t="str">
            <v>S</v>
          </cell>
        </row>
        <row r="159">
          <cell r="A159">
            <v>323003</v>
          </cell>
          <cell r="B159" t="str">
            <v>Arrendamiento de Equipo Educacional y Recreativo</v>
          </cell>
          <cell r="C159" t="str">
            <v>S</v>
          </cell>
        </row>
        <row r="160">
          <cell r="A160">
            <v>323004</v>
          </cell>
          <cell r="B160" t="str">
            <v>Arrendamiento de Mobiliario y Equipo</v>
          </cell>
          <cell r="C160" t="str">
            <v>S</v>
          </cell>
        </row>
        <row r="161">
          <cell r="A161">
            <v>324000</v>
          </cell>
          <cell r="B161" t="str">
            <v>Arrendamiento de equipo e instrumental médico y de laboratorio</v>
          </cell>
          <cell r="C161" t="str">
            <v>N</v>
          </cell>
        </row>
        <row r="162">
          <cell r="A162">
            <v>324001</v>
          </cell>
          <cell r="B162" t="str">
            <v>Arrendamiento de equipo e instrumental médico y de laboratorio</v>
          </cell>
          <cell r="C162" t="str">
            <v>S</v>
          </cell>
        </row>
        <row r="163">
          <cell r="A163">
            <v>325000</v>
          </cell>
          <cell r="B163" t="str">
            <v>Arrendamiento de equipo de transporte</v>
          </cell>
          <cell r="C163" t="str">
            <v>N</v>
          </cell>
        </row>
        <row r="164">
          <cell r="A164">
            <v>325001</v>
          </cell>
          <cell r="B164" t="str">
            <v>Arrendamiento de equipo de transporte</v>
          </cell>
          <cell r="C164" t="str">
            <v>S</v>
          </cell>
        </row>
        <row r="165">
          <cell r="A165">
            <v>326000</v>
          </cell>
          <cell r="B165" t="str">
            <v>Arrendamiento de maquinaria, otros equipos y herramientas</v>
          </cell>
          <cell r="C165" t="str">
            <v>N</v>
          </cell>
        </row>
        <row r="166">
          <cell r="A166">
            <v>326001</v>
          </cell>
          <cell r="B166" t="str">
            <v>Arrendamiento de maquinaria, otros equipos y herramientas</v>
          </cell>
          <cell r="C166" t="str">
            <v>S</v>
          </cell>
        </row>
        <row r="167">
          <cell r="A167">
            <v>327000</v>
          </cell>
          <cell r="B167" t="str">
            <v>Arrendamiento de activos intangibles</v>
          </cell>
          <cell r="C167" t="str">
            <v>N</v>
          </cell>
        </row>
        <row r="168">
          <cell r="A168">
            <v>327001</v>
          </cell>
          <cell r="B168" t="str">
            <v>Arrendamiento de activos intangibles</v>
          </cell>
          <cell r="C168" t="str">
            <v>S</v>
          </cell>
        </row>
        <row r="169">
          <cell r="A169">
            <v>328000</v>
          </cell>
          <cell r="B169" t="str">
            <v>Arrendamiento financiero</v>
          </cell>
          <cell r="C169" t="str">
            <v>N</v>
          </cell>
        </row>
        <row r="170">
          <cell r="A170">
            <v>328001</v>
          </cell>
          <cell r="B170" t="str">
            <v>Arrendamiento financiero</v>
          </cell>
          <cell r="C170" t="str">
            <v>S</v>
          </cell>
        </row>
        <row r="171">
          <cell r="A171">
            <v>328002</v>
          </cell>
          <cell r="B171" t="str">
            <v>Programa Estatal de Arrendamiento Vehicular</v>
          </cell>
          <cell r="C171" t="str">
            <v>S</v>
          </cell>
        </row>
        <row r="172">
          <cell r="A172">
            <v>329000</v>
          </cell>
          <cell r="B172" t="str">
            <v>Otros arrendamientos</v>
          </cell>
          <cell r="C172" t="str">
            <v>N</v>
          </cell>
        </row>
        <row r="173">
          <cell r="A173">
            <v>329001</v>
          </cell>
          <cell r="B173" t="str">
            <v>Arrendamientos especiales</v>
          </cell>
          <cell r="C173" t="str">
            <v>S</v>
          </cell>
        </row>
        <row r="174">
          <cell r="A174">
            <v>330000</v>
          </cell>
          <cell r="B174" t="str">
            <v>SERVICIOS PROFESIONALES, CIENTÍFICOS, TÉCNICOS Y OTROS SERVICIOS</v>
          </cell>
          <cell r="C174" t="str">
            <v>N</v>
          </cell>
        </row>
        <row r="175">
          <cell r="A175">
            <v>331000</v>
          </cell>
          <cell r="B175" t="str">
            <v>Servicios legales, de contabilidad, auditoría y relacionados</v>
          </cell>
          <cell r="C175" t="str">
            <v>N</v>
          </cell>
        </row>
        <row r="176">
          <cell r="A176">
            <v>331001</v>
          </cell>
          <cell r="B176" t="str">
            <v>Asesorías</v>
          </cell>
          <cell r="C176" t="str">
            <v>S</v>
          </cell>
        </row>
        <row r="177">
          <cell r="A177">
            <v>331002</v>
          </cell>
          <cell r="B177" t="str">
            <v>Servicios Notariales</v>
          </cell>
          <cell r="C177" t="str">
            <v>S</v>
          </cell>
        </row>
        <row r="178">
          <cell r="A178">
            <v>331003</v>
          </cell>
          <cell r="B178" t="str">
            <v>Consultoría y Gestión</v>
          </cell>
          <cell r="C178" t="str">
            <v>S</v>
          </cell>
        </row>
        <row r="179">
          <cell r="A179">
            <v>332000</v>
          </cell>
          <cell r="B179" t="str">
            <v>Servicios de diseño, arquitectura, ingeniería y actividades relacionadas</v>
          </cell>
          <cell r="C179" t="str">
            <v>N</v>
          </cell>
        </row>
        <row r="180">
          <cell r="A180">
            <v>332001</v>
          </cell>
          <cell r="B180" t="str">
            <v>Servicios de diseño, arquitectura, ingeniería y actividades relacionadas</v>
          </cell>
          <cell r="C180" t="str">
            <v>S</v>
          </cell>
        </row>
        <row r="181">
          <cell r="A181">
            <v>333000</v>
          </cell>
          <cell r="B181" t="str">
            <v>Servicios de consultoría administrativa, procesos, técnica y en tecnologías de la información</v>
          </cell>
          <cell r="C181" t="str">
            <v>N</v>
          </cell>
        </row>
        <row r="182">
          <cell r="A182">
            <v>333001</v>
          </cell>
          <cell r="B182" t="str">
            <v>Estudios e investigaciones</v>
          </cell>
          <cell r="C182" t="str">
            <v>S</v>
          </cell>
        </row>
        <row r="183">
          <cell r="A183">
            <v>333002</v>
          </cell>
          <cell r="B183" t="str">
            <v>Sistematización de la Armonización Contable y Presupuestal</v>
          </cell>
          <cell r="C183" t="str">
            <v>S</v>
          </cell>
        </row>
        <row r="184">
          <cell r="A184">
            <v>333003</v>
          </cell>
          <cell r="B184" t="str">
            <v>Servicios de consultoría administrativa, procesos, técnica y en tecnologías de la información</v>
          </cell>
          <cell r="C184" t="str">
            <v>S</v>
          </cell>
        </row>
        <row r="185">
          <cell r="A185">
            <v>334000</v>
          </cell>
          <cell r="B185" t="str">
            <v>Servicios de capacitación</v>
          </cell>
          <cell r="C185" t="str">
            <v>N</v>
          </cell>
        </row>
        <row r="186">
          <cell r="A186">
            <v>334001</v>
          </cell>
          <cell r="B186" t="str">
            <v>Cuotas e inscripciones</v>
          </cell>
          <cell r="C186" t="str">
            <v>S</v>
          </cell>
        </row>
        <row r="187">
          <cell r="A187">
            <v>334002</v>
          </cell>
          <cell r="B187" t="str">
            <v>Servicios de Capacitación</v>
          </cell>
          <cell r="C187" t="str">
            <v>S</v>
          </cell>
        </row>
        <row r="188">
          <cell r="A188">
            <v>335000</v>
          </cell>
          <cell r="B188" t="str">
            <v>Servicios de investigación científica y desarrollo</v>
          </cell>
          <cell r="C188" t="str">
            <v>N</v>
          </cell>
        </row>
        <row r="189">
          <cell r="A189">
            <v>335001</v>
          </cell>
          <cell r="B189" t="str">
            <v>Servicios de investigación científica y desarrollo</v>
          </cell>
          <cell r="C189" t="str">
            <v>S</v>
          </cell>
        </row>
        <row r="190">
          <cell r="A190">
            <v>336000</v>
          </cell>
          <cell r="B190" t="str">
            <v>Servicios de apoyo administrativo, traducción, fotocopiado e impresión</v>
          </cell>
          <cell r="C190" t="str">
            <v>N</v>
          </cell>
        </row>
        <row r="191">
          <cell r="A191">
            <v>336001</v>
          </cell>
          <cell r="B191" t="str">
            <v>Servicio de Fotocopiado, Enmicado y Encuadernación de Documentos.</v>
          </cell>
          <cell r="C191" t="str">
            <v>S</v>
          </cell>
        </row>
        <row r="192">
          <cell r="A192">
            <v>336002</v>
          </cell>
          <cell r="B192" t="str">
            <v>Servicio de Impresión y Elaboración de Material Informativo</v>
          </cell>
          <cell r="C192" t="str">
            <v>S</v>
          </cell>
        </row>
        <row r="193">
          <cell r="A193">
            <v>337000</v>
          </cell>
          <cell r="B193" t="str">
            <v>Servicios de protección y seguridad</v>
          </cell>
          <cell r="C193" t="str">
            <v>N</v>
          </cell>
        </row>
        <row r="194">
          <cell r="A194">
            <v>337001</v>
          </cell>
          <cell r="B194" t="str">
            <v>Dispositivo de seguridad pública</v>
          </cell>
          <cell r="C194" t="str">
            <v>S</v>
          </cell>
        </row>
        <row r="195">
          <cell r="A195">
            <v>338000</v>
          </cell>
          <cell r="B195" t="str">
            <v>Servicios de vigilancia</v>
          </cell>
          <cell r="C195" t="str">
            <v>N</v>
          </cell>
        </row>
        <row r="196">
          <cell r="A196">
            <v>338001</v>
          </cell>
          <cell r="B196" t="str">
            <v>Servicio de seguridad privada</v>
          </cell>
          <cell r="C196" t="str">
            <v>S</v>
          </cell>
        </row>
        <row r="197">
          <cell r="A197">
            <v>339000</v>
          </cell>
          <cell r="B197" t="str">
            <v>Servicios profesionales, científicos y técnicos integrales</v>
          </cell>
          <cell r="C197" t="str">
            <v>N</v>
          </cell>
        </row>
        <row r="198">
          <cell r="A198">
            <v>339001</v>
          </cell>
          <cell r="B198" t="str">
            <v>Servicios profesionales, científicos y técnicos integrales</v>
          </cell>
          <cell r="C198" t="str">
            <v>S</v>
          </cell>
        </row>
        <row r="199">
          <cell r="A199">
            <v>340000</v>
          </cell>
          <cell r="B199" t="str">
            <v>SERVICIOS FINANCIEROS, BANCARIOS Y COMERCIALES</v>
          </cell>
          <cell r="C199" t="str">
            <v>N</v>
          </cell>
        </row>
        <row r="200">
          <cell r="A200">
            <v>341000</v>
          </cell>
          <cell r="B200" t="str">
            <v>Servicios financieros y bancarios</v>
          </cell>
          <cell r="C200" t="str">
            <v>N</v>
          </cell>
        </row>
        <row r="201">
          <cell r="A201">
            <v>341001</v>
          </cell>
          <cell r="B201" t="str">
            <v>Comisiones, descuentos y otros servicios bancarios</v>
          </cell>
          <cell r="C201" t="str">
            <v>S</v>
          </cell>
        </row>
        <row r="202">
          <cell r="A202">
            <v>342000</v>
          </cell>
          <cell r="B202" t="str">
            <v>Servicios de cobranza, investigación crediticia y similar</v>
          </cell>
          <cell r="C202" t="str">
            <v>N</v>
          </cell>
        </row>
        <row r="203">
          <cell r="A203">
            <v>342001</v>
          </cell>
          <cell r="B203" t="str">
            <v>Servicios de cobranza, investigación crediticia y similar</v>
          </cell>
          <cell r="C203" t="str">
            <v>S</v>
          </cell>
        </row>
        <row r="204">
          <cell r="A204">
            <v>343000</v>
          </cell>
          <cell r="B204" t="str">
            <v>Servicios de recaudación, traslado y custodia de valores</v>
          </cell>
          <cell r="C204" t="str">
            <v>N</v>
          </cell>
        </row>
        <row r="205">
          <cell r="A205">
            <v>343001</v>
          </cell>
          <cell r="B205" t="str">
            <v>Servicios de recaudación, traslado y custodia de valores</v>
          </cell>
          <cell r="C205" t="str">
            <v>S</v>
          </cell>
        </row>
        <row r="206">
          <cell r="A206">
            <v>344000</v>
          </cell>
          <cell r="B206" t="str">
            <v>Seguros de responsabilidad patrimonial y fianzas</v>
          </cell>
          <cell r="C206" t="str">
            <v>N</v>
          </cell>
        </row>
        <row r="207">
          <cell r="A207">
            <v>344001</v>
          </cell>
          <cell r="B207" t="str">
            <v>Seguros de responsabilidad patrimonial y fianzas</v>
          </cell>
          <cell r="C207" t="str">
            <v>S</v>
          </cell>
        </row>
        <row r="208">
          <cell r="A208">
            <v>345000</v>
          </cell>
          <cell r="B208" t="str">
            <v>Seguro de bienes patrimoniales</v>
          </cell>
          <cell r="C208" t="str">
            <v>N</v>
          </cell>
        </row>
        <row r="209">
          <cell r="A209">
            <v>345001</v>
          </cell>
          <cell r="B209" t="str">
            <v>Seguros</v>
          </cell>
          <cell r="C209" t="str">
            <v>S</v>
          </cell>
        </row>
        <row r="210">
          <cell r="A210">
            <v>346000</v>
          </cell>
          <cell r="B210" t="str">
            <v>Almacenaje, envase y embalaje</v>
          </cell>
          <cell r="C210" t="str">
            <v>N</v>
          </cell>
        </row>
        <row r="211">
          <cell r="A211">
            <v>346001</v>
          </cell>
          <cell r="B211" t="str">
            <v>Almacenaje, envase y embalaje</v>
          </cell>
          <cell r="C211" t="str">
            <v>S</v>
          </cell>
        </row>
        <row r="212">
          <cell r="A212">
            <v>347000</v>
          </cell>
          <cell r="B212" t="str">
            <v>Fletes y maniobras</v>
          </cell>
          <cell r="C212" t="str">
            <v>N</v>
          </cell>
        </row>
        <row r="213">
          <cell r="A213">
            <v>347001</v>
          </cell>
          <cell r="B213" t="str">
            <v>Fletes, maniobras y almacenaje</v>
          </cell>
          <cell r="C213" t="str">
            <v>S</v>
          </cell>
        </row>
        <row r="214">
          <cell r="A214">
            <v>348000</v>
          </cell>
          <cell r="B214" t="str">
            <v>Comisiones por ventas</v>
          </cell>
          <cell r="C214" t="str">
            <v>N</v>
          </cell>
        </row>
        <row r="215">
          <cell r="A215">
            <v>348001</v>
          </cell>
          <cell r="B215" t="str">
            <v>Comisiones por ventas</v>
          </cell>
          <cell r="C215" t="str">
            <v>S</v>
          </cell>
        </row>
        <row r="216">
          <cell r="A216">
            <v>349000</v>
          </cell>
          <cell r="B216" t="str">
            <v>Servicios financieros, bancarios y comerciales integrales</v>
          </cell>
          <cell r="C216" t="str">
            <v>N</v>
          </cell>
        </row>
        <row r="217">
          <cell r="A217">
            <v>349001</v>
          </cell>
          <cell r="B217" t="str">
            <v>Servicios financieros, bancarios y comerciales integrales</v>
          </cell>
          <cell r="C217" t="str">
            <v>S</v>
          </cell>
        </row>
        <row r="218">
          <cell r="A218">
            <v>350000</v>
          </cell>
          <cell r="B218" t="str">
            <v>SERVICIOS DE INSTALACIÓN, REPARACIÓN, MANTENIMIENTO Y CONSERVACIÓN</v>
          </cell>
          <cell r="C218" t="str">
            <v>N</v>
          </cell>
        </row>
        <row r="219">
          <cell r="A219">
            <v>351000</v>
          </cell>
          <cell r="B219" t="str">
            <v>Conservación y mantenimiento menor de inmuebles</v>
          </cell>
          <cell r="C219" t="str">
            <v>N</v>
          </cell>
        </row>
        <row r="220">
          <cell r="A220">
            <v>351001</v>
          </cell>
          <cell r="B220" t="str">
            <v>Mantenimiento de inmuebles</v>
          </cell>
          <cell r="C220" t="str">
            <v>S</v>
          </cell>
        </row>
        <row r="221">
          <cell r="A221">
            <v>351002</v>
          </cell>
          <cell r="B221" t="str">
            <v>Fumigación de Inmuebles</v>
          </cell>
          <cell r="C221" t="str">
            <v>S</v>
          </cell>
        </row>
        <row r="222">
          <cell r="A222">
            <v>351003</v>
          </cell>
          <cell r="B222" t="str">
            <v>Mantto. y Conserv. de Inmuebles Sub Proc. Zona Norte</v>
          </cell>
          <cell r="C222" t="str">
            <v>S</v>
          </cell>
        </row>
        <row r="223">
          <cell r="A223">
            <v>352000</v>
          </cell>
          <cell r="B223" t="str">
            <v>Instalación, reparación y mantenimiento de mobiliario y equipo de administración, educacional y recreativo</v>
          </cell>
          <cell r="C223" t="str">
            <v>N</v>
          </cell>
        </row>
        <row r="224">
          <cell r="A224">
            <v>352001</v>
          </cell>
          <cell r="B224" t="str">
            <v>Mantenimiento de mobiliario y equipo</v>
          </cell>
          <cell r="C224" t="str">
            <v>S</v>
          </cell>
        </row>
        <row r="225">
          <cell r="A225">
            <v>352002</v>
          </cell>
          <cell r="B225" t="str">
            <v>Gastos de instalación</v>
          </cell>
          <cell r="C225" t="str">
            <v>S</v>
          </cell>
        </row>
        <row r="226">
          <cell r="A226">
            <v>352003</v>
          </cell>
          <cell r="B226" t="str">
            <v>Mantto. y Conservación Archivo General de Notarias del Gob. del Edo.</v>
          </cell>
          <cell r="C226" t="str">
            <v>S</v>
          </cell>
        </row>
        <row r="227">
          <cell r="A227">
            <v>353000</v>
          </cell>
          <cell r="B227" t="str">
            <v>Instalación, reparación y mantenimiento de equipo de cómputo y tecnología de la información</v>
          </cell>
          <cell r="C227" t="str">
            <v>N</v>
          </cell>
        </row>
        <row r="228">
          <cell r="A228">
            <v>353001</v>
          </cell>
          <cell r="B228" t="str">
            <v>Instalación, reparación y mantenimiento de equipo de cómputo y tecnología  de la información</v>
          </cell>
          <cell r="C228" t="str">
            <v>S</v>
          </cell>
        </row>
        <row r="229">
          <cell r="A229">
            <v>354000</v>
          </cell>
          <cell r="B229" t="str">
            <v>Instalación, reparación y mantenimiento de equipo e instrumental médico y de laboratorio</v>
          </cell>
          <cell r="C229" t="str">
            <v>N</v>
          </cell>
        </row>
        <row r="230">
          <cell r="A230">
            <v>354001</v>
          </cell>
          <cell r="B230" t="str">
            <v>Instalación, reparación y mantenimiento de equipo e instrumental médico y de laboratorio</v>
          </cell>
          <cell r="C230" t="str">
            <v>S</v>
          </cell>
        </row>
        <row r="231">
          <cell r="A231">
            <v>355000</v>
          </cell>
          <cell r="B231" t="str">
            <v>Reparación y mantenimiento de equipo de transporte</v>
          </cell>
          <cell r="C231" t="str">
            <v>N</v>
          </cell>
        </row>
        <row r="232">
          <cell r="A232">
            <v>355001</v>
          </cell>
          <cell r="B232" t="str">
            <v>Mantto. y conservación de vehículos terrestres, aéreos, marítimos, lacustres y fluviales</v>
          </cell>
          <cell r="C232" t="str">
            <v>S</v>
          </cell>
        </row>
        <row r="233">
          <cell r="A233">
            <v>356000</v>
          </cell>
          <cell r="B233" t="str">
            <v>Reparación y mantenimiento de equipo de defensa y seguridad</v>
          </cell>
          <cell r="C233" t="str">
            <v>N</v>
          </cell>
        </row>
        <row r="234">
          <cell r="A234">
            <v>356001</v>
          </cell>
          <cell r="B234" t="str">
            <v>Reparación y mantenimiento de equipo de defensa y seguridad</v>
          </cell>
          <cell r="C234" t="str">
            <v>S</v>
          </cell>
        </row>
        <row r="235">
          <cell r="A235">
            <v>357000</v>
          </cell>
          <cell r="B235" t="str">
            <v>Instalación, reparación y mantenimiento de maquinaria, otros equipos y herramienta</v>
          </cell>
          <cell r="C235" t="str">
            <v>N</v>
          </cell>
        </row>
        <row r="236">
          <cell r="A236">
            <v>357001</v>
          </cell>
          <cell r="B236" t="str">
            <v>Instalación, reparación y mantenimiento de Equipo de Telecomunicaciones</v>
          </cell>
          <cell r="C236" t="str">
            <v>S</v>
          </cell>
        </row>
        <row r="237">
          <cell r="A237">
            <v>357002</v>
          </cell>
          <cell r="B237" t="str">
            <v>Instalación, reparación y mantenimiento de maquinaria, otros equipos y herramienta</v>
          </cell>
          <cell r="C237" t="str">
            <v>S</v>
          </cell>
        </row>
        <row r="238">
          <cell r="A238">
            <v>358000</v>
          </cell>
          <cell r="B238" t="str">
            <v>Servicios de limpieza y manejo de desechos</v>
          </cell>
          <cell r="C238" t="str">
            <v>N</v>
          </cell>
        </row>
        <row r="239">
          <cell r="A239">
            <v>358001</v>
          </cell>
          <cell r="B239" t="str">
            <v>Servicios de higiene y limpieza</v>
          </cell>
          <cell r="C239" t="str">
            <v>S</v>
          </cell>
        </row>
        <row r="240">
          <cell r="A240">
            <v>358002</v>
          </cell>
          <cell r="B240" t="str">
            <v>Servicios de Limpieza y Lavado de Vehículos</v>
          </cell>
          <cell r="C240" t="str">
            <v>S</v>
          </cell>
        </row>
        <row r="241">
          <cell r="A241">
            <v>358003</v>
          </cell>
          <cell r="B241" t="str">
            <v>Servicios de Lavandería</v>
          </cell>
          <cell r="C241" t="str">
            <v>S</v>
          </cell>
        </row>
        <row r="242">
          <cell r="A242">
            <v>359000</v>
          </cell>
          <cell r="B242" t="str">
            <v>Servicios de jardinería y fumigación</v>
          </cell>
          <cell r="C242" t="str">
            <v>N</v>
          </cell>
        </row>
        <row r="243">
          <cell r="A243">
            <v>359001</v>
          </cell>
          <cell r="B243" t="str">
            <v>Árboles, plantas, semillas y abonos</v>
          </cell>
          <cell r="C243" t="str">
            <v>S</v>
          </cell>
        </row>
        <row r="244">
          <cell r="A244">
            <v>359002</v>
          </cell>
          <cell r="B244" t="str">
            <v>Fumigación de áreas verdes</v>
          </cell>
          <cell r="C244" t="str">
            <v>S</v>
          </cell>
        </row>
        <row r="245">
          <cell r="A245">
            <v>360000</v>
          </cell>
          <cell r="B245" t="str">
            <v>SERVICIOS DE COMUNICACIÓN SOCIAL Y PUBLICIDAD</v>
          </cell>
          <cell r="C245" t="str">
            <v>N</v>
          </cell>
        </row>
        <row r="246">
          <cell r="A246">
            <v>361000</v>
          </cell>
          <cell r="B246" t="str">
            <v>Difusión por radio, televisión y otros medios de mensajes sobre programas y actividades gubernamentales</v>
          </cell>
          <cell r="C246" t="str">
            <v>N</v>
          </cell>
        </row>
        <row r="247">
          <cell r="A247">
            <v>361001</v>
          </cell>
          <cell r="B247" t="str">
            <v>Gastos de difusión</v>
          </cell>
          <cell r="C247" t="str">
            <v>S</v>
          </cell>
        </row>
        <row r="248">
          <cell r="A248">
            <v>361002</v>
          </cell>
          <cell r="B248" t="str">
            <v>Impresiones y publicaciones oficiales</v>
          </cell>
          <cell r="C248" t="str">
            <v>S</v>
          </cell>
        </row>
        <row r="249">
          <cell r="A249">
            <v>361003</v>
          </cell>
          <cell r="B249" t="str">
            <v>Rotulaciones oficiales</v>
          </cell>
          <cell r="C249" t="str">
            <v>S</v>
          </cell>
        </row>
        <row r="250">
          <cell r="A250">
            <v>361004</v>
          </cell>
          <cell r="B250" t="str">
            <v>Publicación de convocatorias</v>
          </cell>
          <cell r="C250" t="str">
            <v>S</v>
          </cell>
        </row>
        <row r="251">
          <cell r="A251">
            <v>362000</v>
          </cell>
          <cell r="B251" t="str">
            <v>Difusión por radio, televisión y otros medios de mensajes comerciales para promover la venta de bienes o servicios</v>
          </cell>
          <cell r="C251" t="str">
            <v>N</v>
          </cell>
        </row>
        <row r="252">
          <cell r="A252">
            <v>362001</v>
          </cell>
          <cell r="B252" t="str">
            <v>Difusión por radio, televisión y otros medios de mensajes comerciales para promover la venta de bienes o servicios</v>
          </cell>
          <cell r="C252" t="str">
            <v>S</v>
          </cell>
        </row>
        <row r="253">
          <cell r="A253">
            <v>362002</v>
          </cell>
          <cell r="B253" t="str">
            <v>Difusión por radio, televisión y otros medios de mensajes comerciales para promover la venta de bienes o servicios, fuera del país</v>
          </cell>
          <cell r="C253" t="str">
            <v>S</v>
          </cell>
        </row>
        <row r="254">
          <cell r="A254">
            <v>363000</v>
          </cell>
          <cell r="B254" t="str">
            <v>Servicios de creatividad, preproducción y producción de publicidad, excepto Internet</v>
          </cell>
          <cell r="C254" t="str">
            <v>N</v>
          </cell>
        </row>
        <row r="255">
          <cell r="A255">
            <v>363001</v>
          </cell>
          <cell r="B255" t="str">
            <v>Servicios de Producción y Diseño Publicitario</v>
          </cell>
          <cell r="C255" t="str">
            <v>S</v>
          </cell>
        </row>
        <row r="256">
          <cell r="A256">
            <v>364000</v>
          </cell>
          <cell r="B256" t="str">
            <v>Servicios de revelado de fotografías</v>
          </cell>
          <cell r="C256" t="str">
            <v>N</v>
          </cell>
        </row>
        <row r="257">
          <cell r="A257">
            <v>364001</v>
          </cell>
          <cell r="B257" t="str">
            <v>Revelado de Fotografías</v>
          </cell>
          <cell r="C257" t="str">
            <v>S</v>
          </cell>
        </row>
        <row r="258">
          <cell r="A258">
            <v>365000</v>
          </cell>
          <cell r="B258" t="str">
            <v>Servicios de la industria fílmica, del sonido y del video</v>
          </cell>
          <cell r="C258" t="str">
            <v>N</v>
          </cell>
        </row>
        <row r="259">
          <cell r="A259">
            <v>365001</v>
          </cell>
          <cell r="B259" t="str">
            <v>Servicios de la industria fílmica, del sonido y del video</v>
          </cell>
          <cell r="C259" t="str">
            <v>S</v>
          </cell>
        </row>
        <row r="260">
          <cell r="A260">
            <v>366000</v>
          </cell>
          <cell r="B260" t="str">
            <v>Servicio de creación y difusión de contenido exclusivamente a través de Internet</v>
          </cell>
          <cell r="C260" t="str">
            <v>N</v>
          </cell>
        </row>
        <row r="261">
          <cell r="A261">
            <v>366001</v>
          </cell>
          <cell r="B261" t="str">
            <v>Gastos de difusión a través de internet</v>
          </cell>
          <cell r="C261" t="str">
            <v>S</v>
          </cell>
        </row>
        <row r="262">
          <cell r="A262">
            <v>369000</v>
          </cell>
          <cell r="B262" t="str">
            <v>Otros servicios de información</v>
          </cell>
          <cell r="C262" t="str">
            <v>N</v>
          </cell>
        </row>
        <row r="263">
          <cell r="A263">
            <v>369001</v>
          </cell>
          <cell r="B263" t="str">
            <v>Monitoreo de Información y Encuestas</v>
          </cell>
          <cell r="C263" t="str">
            <v>S</v>
          </cell>
        </row>
        <row r="264">
          <cell r="A264">
            <v>370000</v>
          </cell>
          <cell r="B264" t="str">
            <v>SERVICIOS DE TRASLADO Y VIÁTICOS</v>
          </cell>
          <cell r="C264" t="str">
            <v>N</v>
          </cell>
        </row>
        <row r="265">
          <cell r="A265">
            <v>371000</v>
          </cell>
          <cell r="B265" t="str">
            <v>Pasajes aéreos</v>
          </cell>
          <cell r="C265" t="str">
            <v>N</v>
          </cell>
        </row>
        <row r="266">
          <cell r="A266">
            <v>371001</v>
          </cell>
          <cell r="B266" t="str">
            <v>Pasajes aéreos</v>
          </cell>
          <cell r="C266" t="str">
            <v>S</v>
          </cell>
        </row>
        <row r="267">
          <cell r="A267">
            <v>372000</v>
          </cell>
          <cell r="B267" t="str">
            <v>Pasajes terrestres</v>
          </cell>
          <cell r="C267" t="str">
            <v>N</v>
          </cell>
        </row>
        <row r="268">
          <cell r="A268">
            <v>372001</v>
          </cell>
          <cell r="B268" t="str">
            <v>Pasajes terrestres</v>
          </cell>
          <cell r="C268" t="str">
            <v>S</v>
          </cell>
        </row>
        <row r="269">
          <cell r="A269">
            <v>373000</v>
          </cell>
          <cell r="B269" t="str">
            <v>Pasajes marítimos, lacustres y fluviales</v>
          </cell>
          <cell r="C269" t="str">
            <v>N</v>
          </cell>
        </row>
        <row r="270">
          <cell r="A270">
            <v>373001</v>
          </cell>
          <cell r="B270" t="str">
            <v>Pasajes marítimos</v>
          </cell>
          <cell r="C270" t="str">
            <v>S</v>
          </cell>
        </row>
        <row r="271">
          <cell r="A271">
            <v>374000</v>
          </cell>
          <cell r="B271" t="str">
            <v>Autotransporte</v>
          </cell>
          <cell r="C271" t="str">
            <v>N</v>
          </cell>
        </row>
        <row r="272">
          <cell r="A272">
            <v>374001</v>
          </cell>
          <cell r="B272" t="str">
            <v>Autotransporte</v>
          </cell>
          <cell r="C272" t="str">
            <v>S</v>
          </cell>
        </row>
        <row r="273">
          <cell r="A273">
            <v>375000</v>
          </cell>
          <cell r="B273" t="str">
            <v>Viáticos en el país</v>
          </cell>
          <cell r="C273" t="str">
            <v>N</v>
          </cell>
        </row>
        <row r="274">
          <cell r="A274">
            <v>375001</v>
          </cell>
          <cell r="B274" t="str">
            <v>Viáticos</v>
          </cell>
          <cell r="C274" t="str">
            <v>S</v>
          </cell>
        </row>
        <row r="275">
          <cell r="A275">
            <v>376000</v>
          </cell>
          <cell r="B275" t="str">
            <v>Viáticos en el extranjero</v>
          </cell>
          <cell r="C275" t="str">
            <v>N</v>
          </cell>
        </row>
        <row r="276">
          <cell r="A276">
            <v>376001</v>
          </cell>
          <cell r="B276" t="str">
            <v>Viáticos en el extranjero</v>
          </cell>
          <cell r="C276" t="str">
            <v>S</v>
          </cell>
        </row>
        <row r="277">
          <cell r="A277">
            <v>377000</v>
          </cell>
          <cell r="B277" t="str">
            <v>Gastos de instalación y traslado de menaje</v>
          </cell>
          <cell r="C277" t="str">
            <v>N</v>
          </cell>
        </row>
        <row r="278">
          <cell r="A278">
            <v>377001</v>
          </cell>
          <cell r="B278" t="str">
            <v>Gastos de instalación y traslado de menaje</v>
          </cell>
          <cell r="C278" t="str">
            <v>S</v>
          </cell>
        </row>
        <row r="279">
          <cell r="A279">
            <v>378000</v>
          </cell>
          <cell r="B279" t="str">
            <v>Servicios integrales de traslado y viáticos</v>
          </cell>
          <cell r="C279" t="str">
            <v>N</v>
          </cell>
        </row>
        <row r="280">
          <cell r="A280">
            <v>378001</v>
          </cell>
          <cell r="B280" t="str">
            <v>Diligencias judiciales</v>
          </cell>
          <cell r="C280" t="str">
            <v>S</v>
          </cell>
        </row>
        <row r="281">
          <cell r="A281">
            <v>379000</v>
          </cell>
          <cell r="B281" t="str">
            <v>Otros servicios de traslado y hospedaje</v>
          </cell>
          <cell r="C281" t="str">
            <v>N</v>
          </cell>
        </row>
        <row r="282">
          <cell r="A282">
            <v>379001</v>
          </cell>
          <cell r="B282" t="str">
            <v>Traslado de vehículos</v>
          </cell>
          <cell r="C282" t="str">
            <v>S</v>
          </cell>
        </row>
        <row r="283">
          <cell r="A283">
            <v>379002</v>
          </cell>
          <cell r="B283" t="str">
            <v>Gastos de traslado de personas</v>
          </cell>
          <cell r="C283" t="str">
            <v>S</v>
          </cell>
        </row>
        <row r="284">
          <cell r="A284">
            <v>379003</v>
          </cell>
          <cell r="B284" t="str">
            <v>Hospedaje de personas</v>
          </cell>
          <cell r="C284" t="str">
            <v>S</v>
          </cell>
        </row>
        <row r="285">
          <cell r="A285">
            <v>380000</v>
          </cell>
          <cell r="B285" t="str">
            <v>SERVICIOS OFICIALES</v>
          </cell>
          <cell r="C285" t="str">
            <v>N</v>
          </cell>
        </row>
        <row r="286">
          <cell r="A286">
            <v>381000</v>
          </cell>
          <cell r="B286" t="str">
            <v>Gastos de ceremonial</v>
          </cell>
          <cell r="C286" t="str">
            <v>N</v>
          </cell>
        </row>
        <row r="287">
          <cell r="A287">
            <v>381001</v>
          </cell>
          <cell r="B287" t="str">
            <v>Atención a personalidades nacionales y extranjeras</v>
          </cell>
          <cell r="C287" t="str">
            <v>S</v>
          </cell>
        </row>
        <row r="288">
          <cell r="A288">
            <v>382000</v>
          </cell>
          <cell r="B288" t="str">
            <v>Gastos de orden social y cultural</v>
          </cell>
          <cell r="C288" t="str">
            <v>N</v>
          </cell>
        </row>
        <row r="289">
          <cell r="A289">
            <v>382001</v>
          </cell>
          <cell r="B289" t="str">
            <v>Espectáculos y actividades culturales</v>
          </cell>
          <cell r="C289" t="str">
            <v>S</v>
          </cell>
        </row>
        <row r="290">
          <cell r="A290">
            <v>382002</v>
          </cell>
          <cell r="B290" t="str">
            <v>Gastos de recepción, conmemorativos y de orden social</v>
          </cell>
          <cell r="C290" t="str">
            <v>S</v>
          </cell>
        </row>
        <row r="291">
          <cell r="A291">
            <v>382003</v>
          </cell>
          <cell r="B291" t="str">
            <v>Adaptaciones para eventos sociales y culturales</v>
          </cell>
          <cell r="C291" t="str">
            <v>S</v>
          </cell>
        </row>
        <row r="292">
          <cell r="A292">
            <v>382004</v>
          </cell>
          <cell r="B292" t="str">
            <v>Festividades y Eventos</v>
          </cell>
          <cell r="C292" t="str">
            <v>S</v>
          </cell>
        </row>
        <row r="293">
          <cell r="A293">
            <v>383000</v>
          </cell>
          <cell r="B293" t="str">
            <v>Congresos y convenciones</v>
          </cell>
          <cell r="C293" t="str">
            <v>N</v>
          </cell>
        </row>
        <row r="294">
          <cell r="A294">
            <v>383001</v>
          </cell>
          <cell r="B294" t="str">
            <v>Congresos y convenciones</v>
          </cell>
          <cell r="C294" t="str">
            <v>S</v>
          </cell>
        </row>
        <row r="295">
          <cell r="A295">
            <v>384000</v>
          </cell>
          <cell r="B295" t="str">
            <v>Exposiciones</v>
          </cell>
          <cell r="C295" t="str">
            <v>N</v>
          </cell>
        </row>
        <row r="296">
          <cell r="A296">
            <v>384001</v>
          </cell>
          <cell r="B296" t="str">
            <v>Exposiciones</v>
          </cell>
          <cell r="C296" t="str">
            <v>S</v>
          </cell>
        </row>
        <row r="297">
          <cell r="A297">
            <v>385000</v>
          </cell>
          <cell r="B297" t="str">
            <v>Gastos de representación</v>
          </cell>
          <cell r="C297" t="str">
            <v>N</v>
          </cell>
        </row>
        <row r="298">
          <cell r="A298">
            <v>385001</v>
          </cell>
          <cell r="B298" t="str">
            <v>Gastos de representación</v>
          </cell>
          <cell r="C298" t="str">
            <v>S</v>
          </cell>
        </row>
        <row r="299">
          <cell r="A299">
            <v>390000</v>
          </cell>
          <cell r="B299" t="str">
            <v>OTROS SERVICIOS GENERALES</v>
          </cell>
          <cell r="C299" t="str">
            <v>N</v>
          </cell>
        </row>
        <row r="300">
          <cell r="A300">
            <v>391000</v>
          </cell>
          <cell r="B300" t="str">
            <v>Servicios funerarios y de cementerios</v>
          </cell>
          <cell r="C300" t="str">
            <v>N</v>
          </cell>
        </row>
        <row r="301">
          <cell r="A301">
            <v>391001</v>
          </cell>
          <cell r="B301" t="str">
            <v>Servicios funerarios y de cementerios</v>
          </cell>
          <cell r="C301" t="str">
            <v>S</v>
          </cell>
        </row>
        <row r="302">
          <cell r="A302">
            <v>392000</v>
          </cell>
          <cell r="B302" t="str">
            <v>Impuestos y derechos</v>
          </cell>
          <cell r="C302" t="str">
            <v>N</v>
          </cell>
        </row>
        <row r="303">
          <cell r="A303">
            <v>392001</v>
          </cell>
          <cell r="B303" t="str">
            <v>Impuestos y derechos</v>
          </cell>
          <cell r="C303" t="str">
            <v>S</v>
          </cell>
        </row>
        <row r="304">
          <cell r="A304">
            <v>393000</v>
          </cell>
          <cell r="B304" t="str">
            <v>Impuestos y derechos de importación</v>
          </cell>
          <cell r="C304" t="str">
            <v>N</v>
          </cell>
        </row>
        <row r="305">
          <cell r="A305">
            <v>393001</v>
          </cell>
          <cell r="B305" t="str">
            <v>Impuestos y derechos de importación</v>
          </cell>
          <cell r="C305" t="str">
            <v>S</v>
          </cell>
        </row>
        <row r="306">
          <cell r="A306">
            <v>394000</v>
          </cell>
          <cell r="B306" t="str">
            <v>Sentencias y resoluciones judiciales</v>
          </cell>
          <cell r="C306" t="str">
            <v>N</v>
          </cell>
        </row>
        <row r="307">
          <cell r="A307">
            <v>394001</v>
          </cell>
          <cell r="B307" t="str">
            <v>Sentencias y resoluciones judiciales</v>
          </cell>
          <cell r="C307" t="str">
            <v>S</v>
          </cell>
        </row>
        <row r="308">
          <cell r="A308">
            <v>395000</v>
          </cell>
          <cell r="B308" t="str">
            <v>Penas, multas, accesorios y actualizaciones</v>
          </cell>
          <cell r="C308" t="str">
            <v>N</v>
          </cell>
        </row>
        <row r="309">
          <cell r="A309">
            <v>395001</v>
          </cell>
          <cell r="B309" t="str">
            <v>Penas, multas, accesorios y actualizaciones</v>
          </cell>
          <cell r="C309" t="str">
            <v>S</v>
          </cell>
        </row>
        <row r="310">
          <cell r="A310">
            <v>396000</v>
          </cell>
          <cell r="B310" t="str">
            <v>Otros gastos por responsabilidades</v>
          </cell>
          <cell r="C310" t="str">
            <v>N</v>
          </cell>
        </row>
        <row r="311">
          <cell r="A311">
            <v>396001</v>
          </cell>
          <cell r="B311" t="str">
            <v>Otros gastos por responsabilidades</v>
          </cell>
          <cell r="C311" t="str">
            <v>S</v>
          </cell>
        </row>
        <row r="312">
          <cell r="A312">
            <v>399000</v>
          </cell>
          <cell r="B312" t="str">
            <v>Otros servicios generales</v>
          </cell>
          <cell r="C312" t="str">
            <v>N</v>
          </cell>
        </row>
        <row r="313">
          <cell r="A313">
            <v>399001</v>
          </cell>
          <cell r="B313" t="str">
            <v>Gastos menores</v>
          </cell>
          <cell r="C313" t="str">
            <v>S</v>
          </cell>
        </row>
        <row r="314">
          <cell r="A314">
            <v>399002</v>
          </cell>
          <cell r="B314" t="str">
            <v>Retribuciones a reos</v>
          </cell>
          <cell r="C314" t="str">
            <v>S</v>
          </cell>
        </row>
        <row r="315">
          <cell r="A315">
            <v>399003</v>
          </cell>
          <cell r="B315" t="str">
            <v>Otros servicios de la administración pública</v>
          </cell>
          <cell r="C315" t="str">
            <v>S</v>
          </cell>
        </row>
        <row r="316">
          <cell r="A316">
            <v>399004</v>
          </cell>
          <cell r="B316" t="str">
            <v>Previsión Arrendamientos</v>
          </cell>
          <cell r="C316" t="str">
            <v>Prev</v>
          </cell>
        </row>
        <row r="317">
          <cell r="A317">
            <v>500000</v>
          </cell>
          <cell r="B317" t="str">
            <v>BIENES MUEBLES, INMUEBLES E INTANGIBLES</v>
          </cell>
          <cell r="C317" t="str">
            <v>N</v>
          </cell>
        </row>
        <row r="318">
          <cell r="A318">
            <v>510000</v>
          </cell>
          <cell r="B318" t="str">
            <v>MOBILIARIO Y EQUIPO DE ADMINISTRACIÓN</v>
          </cell>
          <cell r="C318" t="str">
            <v>N</v>
          </cell>
        </row>
        <row r="319">
          <cell r="A319">
            <v>511000</v>
          </cell>
          <cell r="B319" t="str">
            <v>Muebles de oficina y estantería</v>
          </cell>
          <cell r="C319" t="str">
            <v>N</v>
          </cell>
        </row>
        <row r="320">
          <cell r="A320">
            <v>511001</v>
          </cell>
          <cell r="B320" t="str">
            <v>Mobiliario</v>
          </cell>
          <cell r="C320" t="str">
            <v>S</v>
          </cell>
        </row>
        <row r="321">
          <cell r="A321">
            <v>512000</v>
          </cell>
          <cell r="B321" t="str">
            <v>Muebles, excepto de oficina y estantería</v>
          </cell>
          <cell r="C321" t="str">
            <v>N</v>
          </cell>
        </row>
        <row r="322">
          <cell r="A322">
            <v>512001</v>
          </cell>
          <cell r="B322" t="str">
            <v>Muebles, excepto de oficina y estantería</v>
          </cell>
          <cell r="C322" t="str">
            <v>S</v>
          </cell>
        </row>
        <row r="323">
          <cell r="A323">
            <v>513000</v>
          </cell>
          <cell r="B323" t="str">
            <v>Bienes artísticos, culturales y científicos</v>
          </cell>
          <cell r="C323" t="str">
            <v>N</v>
          </cell>
        </row>
        <row r="324">
          <cell r="A324">
            <v>513001</v>
          </cell>
          <cell r="B324" t="str">
            <v>Bienes artísticos y culturales</v>
          </cell>
          <cell r="C324" t="str">
            <v>S</v>
          </cell>
        </row>
        <row r="325">
          <cell r="A325">
            <v>514000</v>
          </cell>
          <cell r="B325" t="str">
            <v>Objetos de valor</v>
          </cell>
          <cell r="C325" t="str">
            <v>N</v>
          </cell>
        </row>
        <row r="326">
          <cell r="A326">
            <v>514001</v>
          </cell>
          <cell r="B326" t="str">
            <v>Objetos de valor</v>
          </cell>
          <cell r="C326" t="str">
            <v>S</v>
          </cell>
        </row>
        <row r="327">
          <cell r="A327">
            <v>515000</v>
          </cell>
          <cell r="B327" t="str">
            <v>Equipo de cómputo y de tecnologías de la información</v>
          </cell>
          <cell r="C327" t="str">
            <v>N</v>
          </cell>
        </row>
        <row r="328">
          <cell r="A328">
            <v>515001</v>
          </cell>
          <cell r="B328" t="str">
            <v>Equipo de administración</v>
          </cell>
          <cell r="C328" t="str">
            <v>S</v>
          </cell>
        </row>
        <row r="329">
          <cell r="A329">
            <v>515002</v>
          </cell>
          <cell r="B329" t="str">
            <v>Equipo de Cómputo y Aparatos de Uso Informático</v>
          </cell>
          <cell r="C329" t="str">
            <v>S</v>
          </cell>
        </row>
        <row r="330">
          <cell r="A330">
            <v>515003</v>
          </cell>
          <cell r="B330" t="str">
            <v>Sistemas de Rastreo Satelital (GPS)</v>
          </cell>
          <cell r="C330" t="str">
            <v>S</v>
          </cell>
        </row>
        <row r="331">
          <cell r="A331">
            <v>519000</v>
          </cell>
          <cell r="B331" t="str">
            <v>Otros mobiliarios y equipos de administración</v>
          </cell>
          <cell r="C331" t="str">
            <v>N</v>
          </cell>
        </row>
        <row r="332">
          <cell r="A332">
            <v>519001</v>
          </cell>
          <cell r="B332" t="str">
            <v>Cámaras y Circuitos Cerrados de Seguridad</v>
          </cell>
          <cell r="C332" t="str">
            <v>S</v>
          </cell>
        </row>
        <row r="333">
          <cell r="A333">
            <v>519002</v>
          </cell>
          <cell r="B333" t="str">
            <v>Equipos de Audio</v>
          </cell>
          <cell r="C333" t="str">
            <v>S</v>
          </cell>
        </row>
        <row r="334">
          <cell r="A334">
            <v>519003</v>
          </cell>
          <cell r="B334" t="str">
            <v>Otras Herramientas, Mobiliarios y Eq. De Administración</v>
          </cell>
          <cell r="C334" t="str">
            <v>S</v>
          </cell>
        </row>
        <row r="335">
          <cell r="A335">
            <v>519004</v>
          </cell>
          <cell r="B335" t="str">
            <v>Aulas Móviles de Vigilancia</v>
          </cell>
          <cell r="C335" t="str">
            <v>S</v>
          </cell>
        </row>
        <row r="336">
          <cell r="A336">
            <v>520000</v>
          </cell>
          <cell r="B336" t="str">
            <v>MOBILIARIO Y EQUIPO EDUCACIONAL Y RECREATIVO</v>
          </cell>
          <cell r="C336" t="str">
            <v>N</v>
          </cell>
        </row>
        <row r="337">
          <cell r="A337">
            <v>521000</v>
          </cell>
          <cell r="B337" t="str">
            <v>Equipos y aparatos audiovisuales</v>
          </cell>
          <cell r="C337" t="str">
            <v>N</v>
          </cell>
        </row>
        <row r="338">
          <cell r="A338">
            <v>521001</v>
          </cell>
          <cell r="B338" t="str">
            <v>Equipo educacional y recreativo</v>
          </cell>
          <cell r="C338" t="str">
            <v>S</v>
          </cell>
        </row>
        <row r="339">
          <cell r="A339">
            <v>522000</v>
          </cell>
          <cell r="B339" t="str">
            <v>Aparatos deportivos</v>
          </cell>
          <cell r="C339" t="str">
            <v>N</v>
          </cell>
        </row>
        <row r="340">
          <cell r="A340">
            <v>522001</v>
          </cell>
          <cell r="B340" t="str">
            <v>Aparatos deportivos</v>
          </cell>
          <cell r="C340" t="str">
            <v>S</v>
          </cell>
        </row>
        <row r="341">
          <cell r="A341">
            <v>523000</v>
          </cell>
          <cell r="B341" t="str">
            <v>Cámaras fotográficas y de video</v>
          </cell>
          <cell r="C341" t="str">
            <v>N</v>
          </cell>
        </row>
        <row r="342">
          <cell r="A342">
            <v>523001</v>
          </cell>
          <cell r="B342" t="str">
            <v>Cámaras Fotográficas</v>
          </cell>
          <cell r="C342" t="str">
            <v>S</v>
          </cell>
        </row>
        <row r="343">
          <cell r="A343">
            <v>523002</v>
          </cell>
          <cell r="B343" t="str">
            <v>Cámaras de Video</v>
          </cell>
          <cell r="C343" t="str">
            <v>S</v>
          </cell>
        </row>
        <row r="344">
          <cell r="A344">
            <v>529000</v>
          </cell>
          <cell r="B344" t="str">
            <v>Otro mobiliario y equipo educacional y recreativo</v>
          </cell>
          <cell r="C344" t="str">
            <v>N</v>
          </cell>
        </row>
        <row r="345">
          <cell r="A345">
            <v>529001</v>
          </cell>
          <cell r="B345" t="str">
            <v>Instrumentos Musicales</v>
          </cell>
          <cell r="C345" t="str">
            <v>S</v>
          </cell>
        </row>
        <row r="346">
          <cell r="A346">
            <v>529002</v>
          </cell>
          <cell r="B346" t="str">
            <v>Equipo Educacional</v>
          </cell>
          <cell r="C346" t="str">
            <v>S</v>
          </cell>
        </row>
        <row r="347">
          <cell r="A347">
            <v>530000</v>
          </cell>
          <cell r="B347" t="str">
            <v>EQUIPO E INSTRUMENTAL MÉDICO Y DE LABORATORIO</v>
          </cell>
          <cell r="C347" t="str">
            <v>N</v>
          </cell>
        </row>
        <row r="348">
          <cell r="A348">
            <v>531000</v>
          </cell>
          <cell r="B348" t="str">
            <v>Equipo médico y de laboratorio</v>
          </cell>
          <cell r="C348" t="str">
            <v>N</v>
          </cell>
        </row>
        <row r="349">
          <cell r="A349">
            <v>531001</v>
          </cell>
          <cell r="B349" t="str">
            <v>Equipo e instrumental medico</v>
          </cell>
          <cell r="C349" t="str">
            <v>S</v>
          </cell>
        </row>
        <row r="350">
          <cell r="A350">
            <v>532000</v>
          </cell>
          <cell r="B350" t="str">
            <v>Instrumental médico y de laboratorio</v>
          </cell>
          <cell r="C350" t="str">
            <v>N</v>
          </cell>
        </row>
        <row r="351">
          <cell r="A351">
            <v>532001</v>
          </cell>
          <cell r="B351" t="str">
            <v>Instrumental médico y de laboratorio</v>
          </cell>
          <cell r="C351" t="str">
            <v>S</v>
          </cell>
        </row>
        <row r="352">
          <cell r="A352">
            <v>540000</v>
          </cell>
          <cell r="B352" t="str">
            <v>VEHÍCULOS Y EQUIPO DE TRANSPORTE</v>
          </cell>
          <cell r="C352" t="str">
            <v>N</v>
          </cell>
        </row>
        <row r="353">
          <cell r="A353">
            <v>541000</v>
          </cell>
          <cell r="B353" t="str">
            <v>Automóviles y camiones</v>
          </cell>
          <cell r="C353" t="str">
            <v>N</v>
          </cell>
        </row>
        <row r="354">
          <cell r="A354">
            <v>541001</v>
          </cell>
          <cell r="B354" t="str">
            <v>Vehículos y equipo terrestre</v>
          </cell>
          <cell r="C354" t="str">
            <v>S</v>
          </cell>
        </row>
        <row r="355">
          <cell r="A355">
            <v>542000</v>
          </cell>
          <cell r="B355" t="str">
            <v>Carrocerías y remolques</v>
          </cell>
          <cell r="C355" t="str">
            <v>N</v>
          </cell>
        </row>
        <row r="356">
          <cell r="A356">
            <v>542001</v>
          </cell>
          <cell r="B356" t="str">
            <v>Carrocerías y remolques</v>
          </cell>
          <cell r="C356" t="str">
            <v>S</v>
          </cell>
        </row>
        <row r="357">
          <cell r="A357">
            <v>543000</v>
          </cell>
          <cell r="B357" t="str">
            <v>Equipo aeroespacial</v>
          </cell>
          <cell r="C357" t="str">
            <v>N</v>
          </cell>
        </row>
        <row r="358">
          <cell r="A358">
            <v>543001</v>
          </cell>
          <cell r="B358" t="str">
            <v>Vehículos y equipo de transporte aéreo</v>
          </cell>
          <cell r="C358" t="str">
            <v>S</v>
          </cell>
        </row>
        <row r="359">
          <cell r="A359">
            <v>544000</v>
          </cell>
          <cell r="B359" t="str">
            <v>Equipo ferroviario</v>
          </cell>
          <cell r="C359" t="str">
            <v>N</v>
          </cell>
        </row>
        <row r="360">
          <cell r="A360">
            <v>544001</v>
          </cell>
          <cell r="B360" t="str">
            <v>Equipo ferroviario</v>
          </cell>
          <cell r="C360" t="str">
            <v>S</v>
          </cell>
        </row>
        <row r="361">
          <cell r="A361">
            <v>545000</v>
          </cell>
          <cell r="B361" t="str">
            <v>Embarcaciones</v>
          </cell>
          <cell r="C361" t="str">
            <v>N</v>
          </cell>
        </row>
        <row r="362">
          <cell r="A362">
            <v>545001</v>
          </cell>
          <cell r="B362" t="str">
            <v>Vehículos y equipo marino</v>
          </cell>
          <cell r="C362" t="str">
            <v>S</v>
          </cell>
        </row>
        <row r="363">
          <cell r="A363">
            <v>549000</v>
          </cell>
          <cell r="B363" t="str">
            <v>Otros Equipos de Transporte</v>
          </cell>
          <cell r="C363" t="str">
            <v>N</v>
          </cell>
        </row>
        <row r="364">
          <cell r="A364">
            <v>549001</v>
          </cell>
          <cell r="B364" t="str">
            <v>Otros equipos de transporte</v>
          </cell>
          <cell r="C364" t="str">
            <v>S</v>
          </cell>
        </row>
        <row r="365">
          <cell r="A365">
            <v>550000</v>
          </cell>
          <cell r="B365" t="str">
            <v>EQUIPO DE DEFENSA Y SEGURIDAD</v>
          </cell>
          <cell r="C365" t="str">
            <v>N</v>
          </cell>
        </row>
        <row r="366">
          <cell r="A366">
            <v>551000</v>
          </cell>
          <cell r="B366" t="str">
            <v>Equipo de defensa y seguridad</v>
          </cell>
          <cell r="C366" t="str">
            <v>N</v>
          </cell>
        </row>
        <row r="367">
          <cell r="A367">
            <v>551001</v>
          </cell>
          <cell r="B367" t="str">
            <v>Equipo de defensa y seguridad pública</v>
          </cell>
          <cell r="C367" t="str">
            <v>S</v>
          </cell>
        </row>
        <row r="368">
          <cell r="A368">
            <v>560000</v>
          </cell>
          <cell r="B368" t="str">
            <v>MAQUINARIA, OTROS EQUIPOS Y HERRAMIENTAS</v>
          </cell>
          <cell r="C368" t="str">
            <v>N</v>
          </cell>
        </row>
        <row r="369">
          <cell r="A369">
            <v>561000</v>
          </cell>
          <cell r="B369" t="str">
            <v>Maquinaria y equipo agropecuario</v>
          </cell>
          <cell r="C369" t="str">
            <v>N</v>
          </cell>
        </row>
        <row r="370">
          <cell r="A370">
            <v>561001</v>
          </cell>
          <cell r="B370" t="str">
            <v>Maquinaria y equipo agropecuario, industrial y de construcción</v>
          </cell>
          <cell r="C370" t="str">
            <v>S</v>
          </cell>
        </row>
        <row r="371">
          <cell r="A371">
            <v>562000</v>
          </cell>
          <cell r="B371" t="str">
            <v>Maquinaria y equipo industrial</v>
          </cell>
          <cell r="C371" t="str">
            <v>N</v>
          </cell>
        </row>
        <row r="372">
          <cell r="A372">
            <v>562001</v>
          </cell>
          <cell r="B372" t="str">
            <v>Bombas Industriales</v>
          </cell>
          <cell r="C372" t="str">
            <v>S</v>
          </cell>
        </row>
        <row r="373">
          <cell r="A373">
            <v>563000</v>
          </cell>
          <cell r="B373" t="str">
            <v>Maquinaria y equipo de construcción</v>
          </cell>
          <cell r="C373" t="str">
            <v>N</v>
          </cell>
        </row>
        <row r="374">
          <cell r="A374">
            <v>563001</v>
          </cell>
          <cell r="B374" t="str">
            <v>Maquinaria y equipo de construcción</v>
          </cell>
          <cell r="C374" t="str">
            <v>S</v>
          </cell>
        </row>
        <row r="375">
          <cell r="A375">
            <v>564000</v>
          </cell>
          <cell r="B375" t="str">
            <v>Sistemas de aire acondicionado, calefacción y de refrigeración industrial y comercial</v>
          </cell>
          <cell r="C375" t="str">
            <v>N</v>
          </cell>
        </row>
        <row r="376">
          <cell r="A376">
            <v>564001</v>
          </cell>
          <cell r="B376" t="str">
            <v>Sistemas de aire acondicionado, calefacción y de refrigeración industrial y comercial</v>
          </cell>
          <cell r="C376" t="str">
            <v>S</v>
          </cell>
        </row>
        <row r="377">
          <cell r="A377">
            <v>565000</v>
          </cell>
          <cell r="B377" t="str">
            <v>Equipo de comunicación y telecomunicación</v>
          </cell>
          <cell r="C377" t="str">
            <v>N</v>
          </cell>
        </row>
        <row r="378">
          <cell r="A378">
            <v>565001</v>
          </cell>
          <cell r="B378" t="str">
            <v>Maq. y equipo de telecomunicaciones, eléctrica y electrónica</v>
          </cell>
          <cell r="C378" t="str">
            <v>S</v>
          </cell>
        </row>
        <row r="379">
          <cell r="A379">
            <v>566000</v>
          </cell>
          <cell r="B379" t="str">
            <v>Equipos de generación eléctrica, aparatos y accesorios eléctricos</v>
          </cell>
          <cell r="C379" t="str">
            <v>N</v>
          </cell>
        </row>
        <row r="380">
          <cell r="A380">
            <v>566001</v>
          </cell>
          <cell r="B380" t="str">
            <v>Equipos de generación eléctrica</v>
          </cell>
          <cell r="C380" t="str">
            <v>S</v>
          </cell>
        </row>
        <row r="381">
          <cell r="A381">
            <v>566002</v>
          </cell>
          <cell r="B381" t="str">
            <v>Aparatos y Accesorios eléctricos</v>
          </cell>
          <cell r="C381" t="str">
            <v>S</v>
          </cell>
        </row>
        <row r="382">
          <cell r="A382">
            <v>567000</v>
          </cell>
          <cell r="B382" t="str">
            <v>Herramientas y máquinas-herramienta</v>
          </cell>
          <cell r="C382" t="str">
            <v>N</v>
          </cell>
        </row>
        <row r="383">
          <cell r="A383">
            <v>567001</v>
          </cell>
          <cell r="B383" t="str">
            <v>Herramientas y refacciones mayores</v>
          </cell>
          <cell r="C383" t="str">
            <v>S</v>
          </cell>
        </row>
        <row r="384">
          <cell r="A384">
            <v>569000</v>
          </cell>
          <cell r="B384" t="str">
            <v>Otros equipos</v>
          </cell>
          <cell r="C384" t="str">
            <v>N</v>
          </cell>
        </row>
        <row r="385">
          <cell r="A385">
            <v>569001</v>
          </cell>
          <cell r="B385" t="str">
            <v>Maquinaria y equipo diverso</v>
          </cell>
          <cell r="C385" t="str">
            <v>S</v>
          </cell>
        </row>
        <row r="386">
          <cell r="A386">
            <v>570000</v>
          </cell>
          <cell r="B386" t="str">
            <v>ACTIVOS BIOLÓGICOS</v>
          </cell>
          <cell r="C386" t="str">
            <v>N</v>
          </cell>
        </row>
        <row r="387">
          <cell r="A387">
            <v>571000</v>
          </cell>
          <cell r="B387" t="str">
            <v>Bovinos</v>
          </cell>
          <cell r="C387" t="str">
            <v>N</v>
          </cell>
        </row>
        <row r="388">
          <cell r="A388">
            <v>571001</v>
          </cell>
          <cell r="B388" t="str">
            <v>Bovinos</v>
          </cell>
          <cell r="C388" t="str">
            <v>S</v>
          </cell>
        </row>
        <row r="389">
          <cell r="A389">
            <v>572000</v>
          </cell>
          <cell r="B389" t="str">
            <v>Porcinos</v>
          </cell>
          <cell r="C389" t="str">
            <v>N</v>
          </cell>
        </row>
        <row r="390">
          <cell r="A390">
            <v>572001</v>
          </cell>
          <cell r="B390" t="str">
            <v>Porcinos</v>
          </cell>
          <cell r="C390" t="str">
            <v>S</v>
          </cell>
        </row>
        <row r="391">
          <cell r="A391">
            <v>573000</v>
          </cell>
          <cell r="B391" t="str">
            <v>Aves</v>
          </cell>
          <cell r="C391" t="str">
            <v>N</v>
          </cell>
        </row>
        <row r="392">
          <cell r="A392">
            <v>573001</v>
          </cell>
          <cell r="B392" t="str">
            <v>Aves</v>
          </cell>
          <cell r="C392" t="str">
            <v>S</v>
          </cell>
        </row>
        <row r="393">
          <cell r="A393">
            <v>574000</v>
          </cell>
          <cell r="B393" t="str">
            <v>Ovinos y caprinos</v>
          </cell>
          <cell r="C393" t="str">
            <v>N</v>
          </cell>
        </row>
        <row r="394">
          <cell r="A394">
            <v>574001</v>
          </cell>
          <cell r="B394" t="str">
            <v>Ovinos y caprinos</v>
          </cell>
          <cell r="C394" t="str">
            <v>S</v>
          </cell>
        </row>
        <row r="395">
          <cell r="A395">
            <v>575000</v>
          </cell>
          <cell r="B395" t="str">
            <v>Peces y acuicultura</v>
          </cell>
          <cell r="C395" t="str">
            <v>N</v>
          </cell>
        </row>
        <row r="396">
          <cell r="A396">
            <v>575001</v>
          </cell>
          <cell r="B396" t="str">
            <v>Peces y acuicultura</v>
          </cell>
          <cell r="C396" t="str">
            <v>S</v>
          </cell>
        </row>
        <row r="397">
          <cell r="A397">
            <v>576000</v>
          </cell>
          <cell r="B397" t="str">
            <v>Equinos</v>
          </cell>
          <cell r="C397" t="str">
            <v>N</v>
          </cell>
        </row>
        <row r="398">
          <cell r="A398">
            <v>576001</v>
          </cell>
          <cell r="B398" t="str">
            <v>Equinos</v>
          </cell>
          <cell r="C398" t="str">
            <v>S</v>
          </cell>
        </row>
        <row r="399">
          <cell r="A399">
            <v>577000</v>
          </cell>
          <cell r="B399" t="str">
            <v>Especies menores y de zoológico</v>
          </cell>
          <cell r="C399" t="str">
            <v>N</v>
          </cell>
        </row>
        <row r="400">
          <cell r="A400">
            <v>577001</v>
          </cell>
          <cell r="B400" t="str">
            <v>Especies menores y de zoológico</v>
          </cell>
          <cell r="C400" t="str">
            <v>S</v>
          </cell>
        </row>
        <row r="401">
          <cell r="A401">
            <v>578000</v>
          </cell>
          <cell r="B401" t="str">
            <v>Árboles y plantas</v>
          </cell>
          <cell r="C401" t="str">
            <v>N</v>
          </cell>
        </row>
        <row r="402">
          <cell r="A402">
            <v>578001</v>
          </cell>
          <cell r="B402" t="str">
            <v>Árboles y plantas</v>
          </cell>
          <cell r="C402" t="str">
            <v>S</v>
          </cell>
        </row>
        <row r="403">
          <cell r="A403">
            <v>579000</v>
          </cell>
          <cell r="B403" t="str">
            <v>Otros activos biológicos</v>
          </cell>
          <cell r="C403" t="str">
            <v>N</v>
          </cell>
        </row>
        <row r="404">
          <cell r="A404">
            <v>579001</v>
          </cell>
          <cell r="B404" t="str">
            <v>Otros activos biológicos</v>
          </cell>
          <cell r="C404" t="str">
            <v>S</v>
          </cell>
        </row>
        <row r="405">
          <cell r="A405">
            <v>580000</v>
          </cell>
          <cell r="B405" t="str">
            <v>BIENES INMUEBLES</v>
          </cell>
          <cell r="C405" t="str">
            <v>N</v>
          </cell>
        </row>
        <row r="406">
          <cell r="A406">
            <v>581000</v>
          </cell>
          <cell r="B406" t="str">
            <v>Terrenos</v>
          </cell>
          <cell r="C406" t="str">
            <v>N</v>
          </cell>
        </row>
        <row r="407">
          <cell r="A407">
            <v>581001</v>
          </cell>
          <cell r="B407" t="str">
            <v>Terrenos</v>
          </cell>
          <cell r="C407" t="str">
            <v>S</v>
          </cell>
        </row>
        <row r="408">
          <cell r="A408">
            <v>582000</v>
          </cell>
          <cell r="B408" t="str">
            <v>Viviendas</v>
          </cell>
          <cell r="C408" t="str">
            <v>N</v>
          </cell>
        </row>
        <row r="409">
          <cell r="A409">
            <v>582001</v>
          </cell>
          <cell r="B409" t="str">
            <v>Viviendas</v>
          </cell>
          <cell r="C409" t="str">
            <v>S</v>
          </cell>
        </row>
        <row r="410">
          <cell r="A410">
            <v>583000</v>
          </cell>
          <cell r="B410" t="str">
            <v>Edificios no residenciales</v>
          </cell>
          <cell r="C410" t="str">
            <v>N</v>
          </cell>
        </row>
        <row r="411">
          <cell r="A411">
            <v>583001</v>
          </cell>
          <cell r="B411" t="str">
            <v>Edificios y locales</v>
          </cell>
          <cell r="C411" t="str">
            <v>S</v>
          </cell>
        </row>
        <row r="412">
          <cell r="A412">
            <v>589000</v>
          </cell>
          <cell r="B412" t="str">
            <v>Otros bienes inmuebles</v>
          </cell>
          <cell r="C412" t="str">
            <v>N</v>
          </cell>
        </row>
        <row r="413">
          <cell r="A413">
            <v>589001</v>
          </cell>
          <cell r="B413" t="str">
            <v>Adjudicaciones, expropiaciones e indemnizaciones de inmuebles</v>
          </cell>
          <cell r="C413" t="str">
            <v>S</v>
          </cell>
        </row>
        <row r="414">
          <cell r="A414">
            <v>590000</v>
          </cell>
          <cell r="B414" t="str">
            <v>ACTIVOS INTANGIBLES</v>
          </cell>
          <cell r="C414" t="str">
            <v>N</v>
          </cell>
        </row>
        <row r="415">
          <cell r="A415">
            <v>591000</v>
          </cell>
          <cell r="B415" t="str">
            <v>Software</v>
          </cell>
          <cell r="C415" t="str">
            <v>N</v>
          </cell>
        </row>
        <row r="416">
          <cell r="A416">
            <v>591001</v>
          </cell>
          <cell r="B416" t="str">
            <v>Software</v>
          </cell>
          <cell r="C416" t="str">
            <v>S</v>
          </cell>
        </row>
        <row r="417">
          <cell r="A417">
            <v>592000</v>
          </cell>
          <cell r="B417" t="str">
            <v>Patentes</v>
          </cell>
          <cell r="C417" t="str">
            <v>N</v>
          </cell>
        </row>
        <row r="418">
          <cell r="A418">
            <v>592001</v>
          </cell>
          <cell r="B418" t="str">
            <v>Patentes</v>
          </cell>
          <cell r="C418" t="str">
            <v>S</v>
          </cell>
        </row>
        <row r="419">
          <cell r="A419">
            <v>593000</v>
          </cell>
          <cell r="B419" t="str">
            <v>Marcas</v>
          </cell>
          <cell r="C419" t="str">
            <v>N</v>
          </cell>
        </row>
        <row r="420">
          <cell r="A420">
            <v>593001</v>
          </cell>
          <cell r="B420" t="str">
            <v>Marcas</v>
          </cell>
          <cell r="C420" t="str">
            <v>S</v>
          </cell>
        </row>
        <row r="421">
          <cell r="A421">
            <v>594000</v>
          </cell>
          <cell r="B421" t="str">
            <v>Derechos</v>
          </cell>
          <cell r="C421" t="str">
            <v>N</v>
          </cell>
        </row>
        <row r="422">
          <cell r="A422">
            <v>594001</v>
          </cell>
          <cell r="B422" t="str">
            <v>Derechos</v>
          </cell>
          <cell r="C422" t="str">
            <v>S</v>
          </cell>
        </row>
        <row r="423">
          <cell r="A423">
            <v>595000</v>
          </cell>
          <cell r="B423" t="str">
            <v>Concesiones</v>
          </cell>
          <cell r="C423" t="str">
            <v>N</v>
          </cell>
        </row>
        <row r="424">
          <cell r="A424">
            <v>595001</v>
          </cell>
          <cell r="B424" t="str">
            <v>Concesiones</v>
          </cell>
          <cell r="C424" t="str">
            <v>S</v>
          </cell>
        </row>
        <row r="425">
          <cell r="A425">
            <v>596000</v>
          </cell>
          <cell r="B425" t="str">
            <v>Franquicias</v>
          </cell>
          <cell r="C425" t="str">
            <v>N</v>
          </cell>
        </row>
        <row r="426">
          <cell r="A426">
            <v>596001</v>
          </cell>
          <cell r="B426" t="str">
            <v>Franquicias</v>
          </cell>
          <cell r="C426" t="str">
            <v>S</v>
          </cell>
        </row>
        <row r="427">
          <cell r="A427">
            <v>597000</v>
          </cell>
          <cell r="B427" t="str">
            <v>Licencias informáticas e intelectuales</v>
          </cell>
          <cell r="C427" t="str">
            <v>N</v>
          </cell>
        </row>
        <row r="428">
          <cell r="A428">
            <v>597001</v>
          </cell>
          <cell r="B428" t="str">
            <v>Licencias para programas de antivirus</v>
          </cell>
          <cell r="C428" t="str">
            <v>S</v>
          </cell>
        </row>
        <row r="429">
          <cell r="A429">
            <v>597002</v>
          </cell>
          <cell r="B429" t="str">
            <v>Licencias Microsoft Windows server 2003 edición estándar</v>
          </cell>
          <cell r="C429" t="str">
            <v>S</v>
          </cell>
        </row>
        <row r="430">
          <cell r="A430">
            <v>598000</v>
          </cell>
          <cell r="B430" t="str">
            <v>Licencias industriales, comerciales y otras</v>
          </cell>
          <cell r="C430" t="str">
            <v>N</v>
          </cell>
        </row>
        <row r="431">
          <cell r="A431">
            <v>598001</v>
          </cell>
          <cell r="B431" t="str">
            <v>Licencias industriales, comerciales y otras</v>
          </cell>
          <cell r="C431" t="str">
            <v>S</v>
          </cell>
        </row>
        <row r="432">
          <cell r="A432">
            <v>599000</v>
          </cell>
          <cell r="B432" t="str">
            <v>Otros activos intangibles</v>
          </cell>
          <cell r="C432" t="str">
            <v>N</v>
          </cell>
        </row>
        <row r="433">
          <cell r="A433">
            <v>599001</v>
          </cell>
          <cell r="B433" t="str">
            <v>Otros activos intangibles</v>
          </cell>
          <cell r="C433" t="str">
            <v>S</v>
          </cell>
        </row>
      </sheetData>
      <sheetData sheetId="4">
        <row r="1">
          <cell r="A1" t="str">
            <v>NOMENCLATURA</v>
          </cell>
          <cell r="B1" t="str">
            <v>DESCRPCION</v>
          </cell>
          <cell r="C1"/>
          <cell r="D1"/>
        </row>
        <row r="2">
          <cell r="A2">
            <v>100</v>
          </cell>
          <cell r="B2" t="str">
            <v>INGRESOS PROPIOS Y APROVECHAMIENTOS</v>
          </cell>
          <cell r="C2"/>
          <cell r="D2"/>
        </row>
        <row r="3">
          <cell r="A3">
            <v>101</v>
          </cell>
          <cell r="B3" t="str">
            <v>INGRESOS PROPIOS (IMPUESTOS, DERECHOS, PRODUCTOS Y APROVECHAMIENTOS)</v>
          </cell>
          <cell r="C3"/>
          <cell r="D3"/>
        </row>
        <row r="4">
          <cell r="A4">
            <v>102</v>
          </cell>
          <cell r="B4" t="str">
            <v>INGRESOS PROPIOS</v>
          </cell>
          <cell r="C4"/>
          <cell r="D4"/>
        </row>
        <row r="5">
          <cell r="A5">
            <v>103</v>
          </cell>
          <cell r="B5" t="str">
            <v>INGRESOS PROPIOS APORTACIONES MUNICIPALES</v>
          </cell>
          <cell r="C5"/>
          <cell r="D5"/>
        </row>
        <row r="6">
          <cell r="A6">
            <v>104</v>
          </cell>
          <cell r="B6" t="str">
            <v>APROVECHAMIENTO POR EL USO DE LA I NFRAESTRUCTURA ESTATAL</v>
          </cell>
          <cell r="C6"/>
          <cell r="D6"/>
        </row>
        <row r="7">
          <cell r="A7">
            <v>110</v>
          </cell>
          <cell r="B7" t="str">
            <v>RECURSO F.O.I.S.</v>
          </cell>
          <cell r="C7"/>
          <cell r="D7"/>
        </row>
        <row r="8">
          <cell r="A8">
            <v>111</v>
          </cell>
          <cell r="B8" t="str">
            <v>RECURSO A.P.I.</v>
          </cell>
          <cell r="C8"/>
          <cell r="D8"/>
        </row>
        <row r="9">
          <cell r="A9">
            <v>130</v>
          </cell>
          <cell r="B9" t="str">
            <v>Reintegro con Ingresos Propios Ramo 28</v>
          </cell>
          <cell r="C9"/>
          <cell r="D9"/>
        </row>
        <row r="10">
          <cell r="A10">
            <v>136</v>
          </cell>
          <cell r="B10" t="str">
            <v>Reintegro con Ingresos Propios FONE</v>
          </cell>
          <cell r="C10"/>
          <cell r="D10"/>
        </row>
        <row r="11">
          <cell r="A11">
            <v>137</v>
          </cell>
          <cell r="B11" t="str">
            <v>Reintegro con Ingresos Propios FASSA</v>
          </cell>
          <cell r="C11"/>
          <cell r="D11"/>
        </row>
        <row r="12">
          <cell r="A12">
            <v>138</v>
          </cell>
          <cell r="B12" t="str">
            <v>Reintegro con Ingresos Propios FAIS/FISE</v>
          </cell>
          <cell r="C12"/>
          <cell r="D12"/>
        </row>
        <row r="13">
          <cell r="A13">
            <v>139</v>
          </cell>
          <cell r="B13" t="str">
            <v>Reintegro con Ingresos Propios FAIS/FISM</v>
          </cell>
          <cell r="C13"/>
          <cell r="D13"/>
        </row>
        <row r="14">
          <cell r="A14">
            <v>140</v>
          </cell>
          <cell r="B14" t="str">
            <v>Reintegro con Ingresos Propios FORTAMUN</v>
          </cell>
          <cell r="C14"/>
          <cell r="D14"/>
        </row>
        <row r="15">
          <cell r="A15">
            <v>141</v>
          </cell>
          <cell r="B15" t="str">
            <v>Reintegro con Ingresos Propios FAM/Asistencia Social</v>
          </cell>
          <cell r="C15"/>
          <cell r="D15"/>
        </row>
        <row r="16">
          <cell r="A16">
            <v>142</v>
          </cell>
          <cell r="B16" t="str">
            <v>Reintegro con Ingresos Propios FAM/Infraest. Educación Básica</v>
          </cell>
          <cell r="C16"/>
          <cell r="D16"/>
        </row>
        <row r="17">
          <cell r="A17">
            <v>143</v>
          </cell>
          <cell r="B17" t="str">
            <v>Reintegro con Ingresos Propios FAM/ Infraest. Educación Media Superior y Superior</v>
          </cell>
          <cell r="C17"/>
          <cell r="D17"/>
        </row>
        <row r="18">
          <cell r="A18">
            <v>145</v>
          </cell>
          <cell r="B18" t="str">
            <v>Reintegro con Ingresos Propios FAETA/Educ. Tecnológica (CONALEP)</v>
          </cell>
          <cell r="C18"/>
          <cell r="D18"/>
        </row>
        <row r="19">
          <cell r="A19">
            <v>146</v>
          </cell>
          <cell r="B19" t="str">
            <v>Reintegro con Ingresos Propios FAETA Educ. Adultos (IEEA)</v>
          </cell>
          <cell r="C19"/>
          <cell r="D19"/>
        </row>
        <row r="20">
          <cell r="A20">
            <v>147</v>
          </cell>
          <cell r="B20" t="str">
            <v>Reintegro con Ingresos Propios FASP</v>
          </cell>
          <cell r="C20"/>
          <cell r="D20"/>
        </row>
        <row r="21">
          <cell r="A21">
            <v>148</v>
          </cell>
          <cell r="B21" t="str">
            <v>Reintegro con Ingresos Propios FAFEF</v>
          </cell>
          <cell r="C21"/>
          <cell r="D21"/>
        </row>
        <row r="22">
          <cell r="A22">
            <v>149</v>
          </cell>
          <cell r="B22" t="str">
            <v>Reintegro con Ingresos Propios SEDATU</v>
          </cell>
          <cell r="C22"/>
          <cell r="D22"/>
        </row>
        <row r="23">
          <cell r="A23">
            <v>161</v>
          </cell>
          <cell r="B23" t="str">
            <v>Reintegro con Ingresos Propios CULTURA Ramo 48</v>
          </cell>
          <cell r="C23"/>
          <cell r="D23"/>
        </row>
        <row r="24">
          <cell r="A24">
            <v>162</v>
          </cell>
          <cell r="B24" t="str">
            <v>Reintegro con Ingresos Propios UABCS</v>
          </cell>
          <cell r="C24"/>
          <cell r="D24"/>
        </row>
        <row r="25">
          <cell r="A25">
            <v>163</v>
          </cell>
          <cell r="B25" t="str">
            <v>Reintegro con Ingresos Propios CONAGUA</v>
          </cell>
          <cell r="C25"/>
          <cell r="D25"/>
        </row>
        <row r="26">
          <cell r="A26">
            <v>164</v>
          </cell>
          <cell r="B26" t="str">
            <v>Reintegro con Ingresos Propios SEGOB</v>
          </cell>
          <cell r="C26"/>
          <cell r="D26"/>
        </row>
        <row r="27">
          <cell r="A27">
            <v>165</v>
          </cell>
          <cell r="B27" t="str">
            <v>Reintegro con Ingresos Propios SECTUR</v>
          </cell>
          <cell r="C27"/>
          <cell r="D27"/>
        </row>
        <row r="28">
          <cell r="A28">
            <v>166</v>
          </cell>
          <cell r="B28" t="str">
            <v>Reintegro con Ingresos Propios PROFIS</v>
          </cell>
          <cell r="C28"/>
          <cell r="D28"/>
        </row>
        <row r="29">
          <cell r="A29">
            <v>167</v>
          </cell>
          <cell r="B29" t="str">
            <v>Reintegro con Ingresos Propios SSP</v>
          </cell>
          <cell r="C29"/>
          <cell r="D29"/>
        </row>
        <row r="30">
          <cell r="A30">
            <v>168</v>
          </cell>
          <cell r="B30" t="str">
            <v>Reintegro con Ingresos Propios COBACH</v>
          </cell>
          <cell r="C30"/>
          <cell r="D30"/>
        </row>
        <row r="31">
          <cell r="A31">
            <v>169</v>
          </cell>
          <cell r="B31" t="str">
            <v>Reintegro con Ingresos Propios Fondo Proporcional Peso a Peso</v>
          </cell>
          <cell r="C31"/>
          <cell r="D31"/>
        </row>
        <row r="32">
          <cell r="A32">
            <v>170</v>
          </cell>
          <cell r="B32" t="str">
            <v>Reintegro con Ingresos Propios CECYTE</v>
          </cell>
          <cell r="C32"/>
          <cell r="D32"/>
        </row>
        <row r="33">
          <cell r="A33">
            <v>171</v>
          </cell>
          <cell r="B33" t="str">
            <v>Reintegro con Ingresos Propios Imp. Ref. Penal (SETEC)</v>
          </cell>
          <cell r="C33"/>
          <cell r="D33"/>
        </row>
        <row r="34">
          <cell r="A34">
            <v>172</v>
          </cell>
          <cell r="B34" t="str">
            <v>Reintegro con Ingresos Propios CONADE</v>
          </cell>
          <cell r="C34"/>
          <cell r="D34"/>
        </row>
        <row r="35">
          <cell r="A35">
            <v>173</v>
          </cell>
          <cell r="B35" t="str">
            <v>Reintegro con Ingresos Propios Conv. Salud (Ramo 12)</v>
          </cell>
          <cell r="C35"/>
          <cell r="D35"/>
        </row>
        <row r="36">
          <cell r="A36">
            <v>174</v>
          </cell>
          <cell r="B36" t="str">
            <v>Reintegro con Ingresos Propios Secretaría de Economía</v>
          </cell>
          <cell r="C36"/>
          <cell r="D36"/>
        </row>
        <row r="37">
          <cell r="A37">
            <v>177</v>
          </cell>
          <cell r="B37" t="str">
            <v>Reintegro con Ingresos Propios SUBSEMUN</v>
          </cell>
          <cell r="C37"/>
          <cell r="D37"/>
        </row>
        <row r="38">
          <cell r="A38">
            <v>178</v>
          </cell>
          <cell r="B38" t="str">
            <v>Reintegro con Ingresos Propios Fondo Para La Infraest. de los Estados</v>
          </cell>
          <cell r="C38"/>
          <cell r="D38"/>
        </row>
        <row r="39">
          <cell r="A39">
            <v>179</v>
          </cell>
          <cell r="B39" t="str">
            <v>Reintegro con Ingresos Propios Apoyo Financiero Ext. UABCS</v>
          </cell>
          <cell r="C39"/>
          <cell r="D39"/>
        </row>
        <row r="40">
          <cell r="A40">
            <v>180</v>
          </cell>
          <cell r="B40" t="str">
            <v>Reintegro con Ingresos Propios Apoyo Financiero Ext. ISIFE</v>
          </cell>
          <cell r="C40"/>
          <cell r="D40"/>
        </row>
        <row r="41">
          <cell r="A41">
            <v>181</v>
          </cell>
          <cell r="B41" t="str">
            <v>Reintegro con Ingresos Propios Subs. Policía Estatal Acreditable (SPA)</v>
          </cell>
          <cell r="C41"/>
          <cell r="D41"/>
        </row>
        <row r="42">
          <cell r="A42">
            <v>182</v>
          </cell>
          <cell r="B42" t="str">
            <v>Reintegro con Ingresos Propios PROASP</v>
          </cell>
          <cell r="C42"/>
          <cell r="D42"/>
        </row>
        <row r="43">
          <cell r="A43">
            <v>183</v>
          </cell>
          <cell r="B43" t="str">
            <v>Reintegro con Ingresos Propios Ingresos Extraordinarios</v>
          </cell>
          <cell r="C43"/>
          <cell r="D43"/>
        </row>
        <row r="44">
          <cell r="A44">
            <v>184</v>
          </cell>
          <cell r="B44" t="str">
            <v>Reintegro con Ingresos Propios Ingresos Derivados del 5 Al Millar (Obra)</v>
          </cell>
          <cell r="C44"/>
          <cell r="D44"/>
        </row>
        <row r="45">
          <cell r="A45">
            <v>185</v>
          </cell>
          <cell r="B45" t="str">
            <v>Reintegro con Ingresos Propios Ingresos Extraordinarios Ramo 23</v>
          </cell>
          <cell r="C45"/>
          <cell r="D45"/>
        </row>
        <row r="46">
          <cell r="A46">
            <v>186</v>
          </cell>
          <cell r="B46" t="str">
            <v>Reintegro con Ingresos Propios Ingresos Extraordinarios Ramo 21</v>
          </cell>
          <cell r="C46"/>
          <cell r="D46"/>
        </row>
        <row r="47">
          <cell r="A47">
            <v>187</v>
          </cell>
          <cell r="B47" t="str">
            <v>Reintegro con Ingresos Propios Ingresos Extraordinarios Sep. Ramo 11</v>
          </cell>
          <cell r="C47"/>
          <cell r="D47"/>
        </row>
        <row r="48">
          <cell r="A48">
            <v>188</v>
          </cell>
          <cell r="B48" t="str">
            <v>Reintegro con Ingresos Propios Ingresos Ext. Ramo 09 (SCT)</v>
          </cell>
          <cell r="C48"/>
          <cell r="D48"/>
        </row>
        <row r="49">
          <cell r="A49">
            <v>189</v>
          </cell>
          <cell r="B49" t="str">
            <v>Reintegro con Ingresos Propios Ingresos Ext. Ramo 16 (SEMARNAT)</v>
          </cell>
          <cell r="C49"/>
          <cell r="D49"/>
        </row>
        <row r="50">
          <cell r="A50">
            <v>201</v>
          </cell>
          <cell r="B50" t="str">
            <v>BONO CUPÓN CERO</v>
          </cell>
          <cell r="C50"/>
          <cell r="D50"/>
        </row>
        <row r="51">
          <cell r="A51">
            <v>500</v>
          </cell>
          <cell r="B51" t="str">
            <v>RECURSOS FEDERALES</v>
          </cell>
          <cell r="C51"/>
          <cell r="D51"/>
        </row>
        <row r="52">
          <cell r="A52">
            <v>530</v>
          </cell>
          <cell r="B52" t="str">
            <v>PARTICIPACIONES Ramo 28</v>
          </cell>
          <cell r="C52"/>
          <cell r="D52"/>
        </row>
        <row r="53">
          <cell r="A53">
            <v>535</v>
          </cell>
          <cell r="B53" t="str">
            <v>INTERESES BANCARIOS PROYECTADOS, RECURSOS FEDERALES</v>
          </cell>
          <cell r="C53"/>
          <cell r="D53"/>
        </row>
        <row r="54">
          <cell r="A54">
            <v>536</v>
          </cell>
          <cell r="B54" t="str">
            <v>FONE Ramo 33</v>
          </cell>
          <cell r="C54"/>
          <cell r="D54"/>
        </row>
        <row r="55">
          <cell r="A55">
            <v>537</v>
          </cell>
          <cell r="B55" t="str">
            <v>FASSA Ramo 33</v>
          </cell>
          <cell r="C55"/>
          <cell r="D55"/>
        </row>
        <row r="56">
          <cell r="A56">
            <v>538</v>
          </cell>
          <cell r="B56" t="str">
            <v>FAIS/FISE Ramo 33</v>
          </cell>
          <cell r="C56"/>
          <cell r="D56"/>
        </row>
        <row r="57">
          <cell r="A57">
            <v>539</v>
          </cell>
          <cell r="B57" t="str">
            <v>FAIS/FISM Ramo 33</v>
          </cell>
          <cell r="C57"/>
          <cell r="D57"/>
        </row>
        <row r="58">
          <cell r="A58">
            <v>540</v>
          </cell>
          <cell r="B58" t="str">
            <v>FORTAMUN Ramo 33</v>
          </cell>
          <cell r="C58"/>
          <cell r="D58"/>
        </row>
        <row r="59">
          <cell r="A59">
            <v>541</v>
          </cell>
          <cell r="B59" t="str">
            <v>FAM/ASISTENCIA SOCIAL Ramo 33</v>
          </cell>
          <cell r="C59"/>
          <cell r="D59"/>
        </row>
        <row r="60">
          <cell r="A60">
            <v>542</v>
          </cell>
          <cell r="B60" t="str">
            <v>FAM/INFRAESTRUCTURA DE EDUCACIÓN BÁSICA Ramo 33</v>
          </cell>
          <cell r="C60"/>
          <cell r="D60"/>
        </row>
        <row r="61">
          <cell r="A61">
            <v>543</v>
          </cell>
          <cell r="B61" t="str">
            <v>FAM/EDUCACIÓN MEDIA SUPERIOR Y SUPERIOR Ramo 33</v>
          </cell>
          <cell r="C61"/>
          <cell r="D61"/>
        </row>
        <row r="62">
          <cell r="A62">
            <v>545</v>
          </cell>
          <cell r="B62" t="str">
            <v>FAETA/EDUCACIÓN TECNOLÓGICA ( CONALEP) Ramo 33</v>
          </cell>
          <cell r="C62"/>
          <cell r="D62"/>
        </row>
        <row r="63">
          <cell r="A63">
            <v>546</v>
          </cell>
          <cell r="B63" t="str">
            <v>FAETA/EDUCACIÓN ADULTOS (IEEA) Ramo 33</v>
          </cell>
          <cell r="C63"/>
          <cell r="D63"/>
        </row>
        <row r="64">
          <cell r="A64">
            <v>547</v>
          </cell>
          <cell r="B64" t="str">
            <v>FASP Ramo 33</v>
          </cell>
          <cell r="C64"/>
          <cell r="D64"/>
        </row>
        <row r="65">
          <cell r="A65">
            <v>548</v>
          </cell>
          <cell r="B65" t="str">
            <v>FAFEF Ramo 33</v>
          </cell>
          <cell r="C65"/>
          <cell r="D65"/>
        </row>
        <row r="66">
          <cell r="A66">
            <v>549</v>
          </cell>
          <cell r="B66" t="str">
            <v>SRIA. DE DES. AGRARIO TERRITORIAL Y URBANO (SEDATU) Ramo 15</v>
          </cell>
          <cell r="C66"/>
          <cell r="D66"/>
        </row>
        <row r="67">
          <cell r="A67">
            <v>561</v>
          </cell>
          <cell r="B67" t="str">
            <v>CULTURA FEDERAL Ramo 48</v>
          </cell>
          <cell r="C67"/>
          <cell r="D67"/>
        </row>
        <row r="68">
          <cell r="A68">
            <v>562</v>
          </cell>
          <cell r="B68" t="str">
            <v>UNIVERSIDAD AUTÓNOMA DE B.C.S. Ramo 11</v>
          </cell>
          <cell r="C68"/>
          <cell r="D68"/>
        </row>
        <row r="69">
          <cell r="A69">
            <v>563</v>
          </cell>
          <cell r="B69" t="str">
            <v>CONAGUA Ramo 16</v>
          </cell>
          <cell r="C69"/>
          <cell r="D69"/>
        </row>
        <row r="70">
          <cell r="A70">
            <v>564</v>
          </cell>
          <cell r="B70" t="str">
            <v>SECRETARÍA DE GOBERNACIÓN Ramo 04</v>
          </cell>
          <cell r="C70"/>
          <cell r="D70"/>
        </row>
        <row r="71">
          <cell r="A71">
            <v>565</v>
          </cell>
          <cell r="B71" t="str">
            <v>SECRETARÍA DE TURISMO Ramo 21</v>
          </cell>
          <cell r="C71"/>
          <cell r="D71"/>
        </row>
        <row r="72">
          <cell r="A72">
            <v>566</v>
          </cell>
          <cell r="B72" t="str">
            <v>PROFIS</v>
          </cell>
          <cell r="C72"/>
          <cell r="D72"/>
        </row>
        <row r="73">
          <cell r="A73">
            <v>567</v>
          </cell>
          <cell r="B73" t="str">
            <v>SECRETARÍA DE SEGURIDAD PÚBLICA</v>
          </cell>
          <cell r="C73"/>
          <cell r="D73"/>
        </row>
        <row r="74">
          <cell r="A74">
            <v>568</v>
          </cell>
          <cell r="B74" t="str">
            <v>COBACH Ramo 11</v>
          </cell>
          <cell r="C74"/>
          <cell r="D74"/>
        </row>
        <row r="75">
          <cell r="A75">
            <v>569</v>
          </cell>
          <cell r="B75" t="str">
            <v>FONDO PROPORCIONAL PESO A PESO</v>
          </cell>
          <cell r="C75"/>
          <cell r="D75"/>
        </row>
        <row r="76">
          <cell r="A76">
            <v>570</v>
          </cell>
          <cell r="B76" t="str">
            <v>CECYTE Ramo 11</v>
          </cell>
          <cell r="C76"/>
          <cell r="D76"/>
        </row>
        <row r="77">
          <cell r="A77">
            <v>571</v>
          </cell>
          <cell r="B77" t="str">
            <v>IMPLEMENTACIÓN DE LA REFORMA PENAL (SETEC)</v>
          </cell>
          <cell r="C77"/>
          <cell r="D77"/>
        </row>
        <row r="78">
          <cell r="A78">
            <v>572</v>
          </cell>
          <cell r="B78" t="str">
            <v>CONADE Ramo 11</v>
          </cell>
          <cell r="C78"/>
          <cell r="D78"/>
        </row>
        <row r="79">
          <cell r="A79">
            <v>573</v>
          </cell>
          <cell r="B79" t="str">
            <v>CONVENIOS Ramo 12</v>
          </cell>
          <cell r="C79"/>
          <cell r="D79"/>
        </row>
        <row r="80">
          <cell r="A80">
            <v>574</v>
          </cell>
          <cell r="B80" t="str">
            <v>SECRETARÍA DE ECONOMÍA Ramo 10</v>
          </cell>
          <cell r="C80"/>
          <cell r="D80"/>
        </row>
        <row r="81">
          <cell r="A81">
            <v>577</v>
          </cell>
          <cell r="B81" t="str">
            <v>SUBSIDIO SEGURIDAD PÚBLICA MUNICIPAL</v>
          </cell>
          <cell r="C81"/>
          <cell r="D81"/>
        </row>
        <row r="82">
          <cell r="A82">
            <v>578</v>
          </cell>
          <cell r="B82" t="str">
            <v>FIDEICOMISO PARA LA INFRAESTRUCTURA DE LOS ESTADOS Ramo 23</v>
          </cell>
          <cell r="C82"/>
          <cell r="D82"/>
        </row>
        <row r="83">
          <cell r="A83">
            <v>579</v>
          </cell>
          <cell r="B83" t="str">
            <v>APOYO FINANCIERO EXTRAORDINARIO UABCS Ramo 11</v>
          </cell>
          <cell r="C83"/>
          <cell r="D83"/>
        </row>
        <row r="84">
          <cell r="A84">
            <v>580</v>
          </cell>
          <cell r="B84" t="str">
            <v>APOYO FINANCIERO EXTRAORDINARIO ISIFE Ramo 11</v>
          </cell>
          <cell r="C84"/>
          <cell r="D84"/>
        </row>
        <row r="85">
          <cell r="A85">
            <v>581</v>
          </cell>
          <cell r="B85" t="str">
            <v>SUBSIDIO POLICÍA ESTATAL ACREDITABLE (SPA)</v>
          </cell>
          <cell r="C85"/>
          <cell r="D85"/>
        </row>
        <row r="86">
          <cell r="A86">
            <v>582</v>
          </cell>
          <cell r="B86" t="str">
            <v>PROASP PROG. DE ALCANCE NAL. EN MAT. DE SEG. PUB. Ramo 04</v>
          </cell>
          <cell r="C86"/>
          <cell r="D86"/>
        </row>
        <row r="87">
          <cell r="A87">
            <v>583</v>
          </cell>
          <cell r="B87" t="str">
            <v>INGRESOS EXTRAORDINARIOS</v>
          </cell>
          <cell r="C87"/>
          <cell r="D87"/>
        </row>
        <row r="88">
          <cell r="A88">
            <v>584</v>
          </cell>
          <cell r="B88" t="str">
            <v>INGRESOS DERIVADOS DEL 5 AL MILLAR (OBRA)</v>
          </cell>
          <cell r="C88"/>
          <cell r="D88"/>
        </row>
        <row r="89">
          <cell r="A89">
            <v>585</v>
          </cell>
          <cell r="B89" t="str">
            <v>INGRESOS EXT Ramo 23 ( Provisiones Salariales y Económicas )</v>
          </cell>
          <cell r="C89"/>
          <cell r="D89"/>
        </row>
        <row r="90">
          <cell r="A90">
            <v>586</v>
          </cell>
          <cell r="B90" t="str">
            <v>INGRESOS EXT Ramo 21 (TURISMO)</v>
          </cell>
          <cell r="C90"/>
          <cell r="D90"/>
        </row>
        <row r="91">
          <cell r="A91">
            <v>587</v>
          </cell>
          <cell r="B91" t="str">
            <v>INGRESOS EXT Ramo 11 (SEP)</v>
          </cell>
          <cell r="C91"/>
          <cell r="D91"/>
        </row>
        <row r="92">
          <cell r="A92">
            <v>588</v>
          </cell>
          <cell r="B92" t="str">
            <v>INGRESOS EXT Ramo 09 (SCT)</v>
          </cell>
          <cell r="C92"/>
          <cell r="D92"/>
        </row>
        <row r="93">
          <cell r="A93">
            <v>589</v>
          </cell>
          <cell r="B93" t="str">
            <v>INGRESOS EXT Ramo 16 (SEMARNAT)</v>
          </cell>
          <cell r="C93"/>
          <cell r="D93"/>
        </row>
        <row r="94">
          <cell r="A94">
            <v>590</v>
          </cell>
          <cell r="B94" t="str">
            <v>INGRESOS EXT FORTASEG Ramo 04 (GOBERNACIÓN)</v>
          </cell>
          <cell r="C94"/>
          <cell r="D94"/>
        </row>
        <row r="95">
          <cell r="A95">
            <v>591</v>
          </cell>
          <cell r="B95" t="str">
            <v>INGRESOS EXT Ramo 20 (BIENESTAR)</v>
          </cell>
          <cell r="C95"/>
          <cell r="D95"/>
        </row>
        <row r="96">
          <cell r="A96">
            <v>598</v>
          </cell>
          <cell r="B96" t="str">
            <v>REMANENTE FONE 2016</v>
          </cell>
          <cell r="C96"/>
          <cell r="D96"/>
        </row>
        <row r="97">
          <cell r="A97">
            <v>599</v>
          </cell>
          <cell r="B97" t="str">
            <v>REMANENTE FONE 2015</v>
          </cell>
          <cell r="C97"/>
          <cell r="D97"/>
        </row>
        <row r="98">
          <cell r="A98">
            <v>700</v>
          </cell>
          <cell r="B98" t="str">
            <v>OTROS RECURSOS</v>
          </cell>
          <cell r="C98"/>
          <cell r="D98"/>
        </row>
        <row r="99">
          <cell r="A99">
            <v>736</v>
          </cell>
          <cell r="B99" t="str">
            <v>RENDIMIENTOS FONE</v>
          </cell>
          <cell r="C99"/>
          <cell r="D99"/>
        </row>
        <row r="100">
          <cell r="A100">
            <v>737</v>
          </cell>
          <cell r="B100" t="str">
            <v>RENDIMIENTOS FAM</v>
          </cell>
          <cell r="C100"/>
          <cell r="D100"/>
        </row>
        <row r="101">
          <cell r="A101">
            <v>747</v>
          </cell>
          <cell r="B101" t="str">
            <v>RENDIMIENTOS FASP</v>
          </cell>
          <cell r="C101"/>
          <cell r="D101"/>
        </row>
        <row r="102">
          <cell r="A102">
            <v>783</v>
          </cell>
          <cell r="B102" t="str">
            <v>INGRESOS EXTRAORDINARIOS (OTROS)</v>
          </cell>
          <cell r="C102"/>
          <cell r="D102"/>
        </row>
      </sheetData>
      <sheetData sheetId="5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AAS"/>
      <sheetName val="CAPITULO"/>
      <sheetName val="PARTIDA"/>
      <sheetName val="COG"/>
      <sheetName val="CLAVES CUCOP"/>
      <sheetName val="CUCOP"/>
      <sheetName val="FF"/>
      <sheetName val="PROCED"/>
    </sheetNames>
    <sheetDataSet>
      <sheetData sheetId="0"/>
      <sheetData sheetId="1"/>
      <sheetData sheetId="2">
        <row r="2">
          <cell r="H2" t="str">
            <v>MATERIALES</v>
          </cell>
        </row>
        <row r="3">
          <cell r="H3" t="str">
            <v>SERVICIOS</v>
          </cell>
        </row>
        <row r="4">
          <cell r="H4" t="str">
            <v>BIENES</v>
          </cell>
        </row>
      </sheetData>
      <sheetData sheetId="3">
        <row r="1">
          <cell r="A1" t="str">
            <v>CUENTA</v>
          </cell>
          <cell r="B1" t="str">
            <v>CONCEPTO</v>
          </cell>
          <cell r="C1" t="str">
            <v>AFECTABLE/ NO
AFECTABLE</v>
          </cell>
        </row>
        <row r="2">
          <cell r="A2">
            <v>210000</v>
          </cell>
          <cell r="B2" t="str">
            <v>MATERIALES DE ADMINISTRACIÓN, EMISIÓN DE DOCUMENTOS Y ARTÍCULO OFICIALES</v>
          </cell>
          <cell r="C2" t="str">
            <v>N</v>
          </cell>
        </row>
        <row r="3">
          <cell r="A3">
            <v>211000</v>
          </cell>
          <cell r="B3" t="str">
            <v>Materiales, útiles y equipos menores de oficina</v>
          </cell>
          <cell r="C3" t="str">
            <v>N</v>
          </cell>
        </row>
        <row r="4">
          <cell r="A4">
            <v>211001</v>
          </cell>
          <cell r="B4" t="str">
            <v>Material de oficina</v>
          </cell>
          <cell r="C4" t="str">
            <v>S</v>
          </cell>
        </row>
        <row r="5">
          <cell r="A5">
            <v>212000</v>
          </cell>
          <cell r="B5" t="str">
            <v>Materiales y útiles de impresión y reproducción</v>
          </cell>
          <cell r="C5" t="str">
            <v>N</v>
          </cell>
        </row>
        <row r="6">
          <cell r="A6">
            <v>212001</v>
          </cell>
          <cell r="B6" t="str">
            <v>Material y útiles de impresión</v>
          </cell>
          <cell r="C6" t="str">
            <v>S</v>
          </cell>
        </row>
        <row r="7">
          <cell r="A7">
            <v>213000</v>
          </cell>
          <cell r="B7" t="str">
            <v>Material estadístico y geográfico</v>
          </cell>
          <cell r="C7" t="str">
            <v>N</v>
          </cell>
        </row>
        <row r="8">
          <cell r="A8">
            <v>213001</v>
          </cell>
          <cell r="B8" t="str">
            <v>Material estadístico y geográfico</v>
          </cell>
          <cell r="C8" t="str">
            <v>S</v>
          </cell>
        </row>
        <row r="9">
          <cell r="A9">
            <v>214000</v>
          </cell>
          <cell r="B9" t="str">
            <v>Materiales, útiles y equipos menores de tecnologías de la información y comunicaciones</v>
          </cell>
          <cell r="C9" t="str">
            <v>N</v>
          </cell>
        </row>
        <row r="10">
          <cell r="A10">
            <v>214001</v>
          </cell>
          <cell r="B10" t="str">
            <v>Materiales, útiles y equipos menores de tecnologías de la información y comunicaciones</v>
          </cell>
          <cell r="C10" t="str">
            <v>S</v>
          </cell>
        </row>
        <row r="11">
          <cell r="A11">
            <v>215000</v>
          </cell>
          <cell r="B11" t="str">
            <v>Material impreso e información digital</v>
          </cell>
          <cell r="C11" t="str">
            <v>N</v>
          </cell>
        </row>
        <row r="12">
          <cell r="A12">
            <v>215001</v>
          </cell>
          <cell r="B12" t="str">
            <v>Material didáctico</v>
          </cell>
          <cell r="C12" t="str">
            <v>S</v>
          </cell>
        </row>
        <row r="13">
          <cell r="A13">
            <v>215002</v>
          </cell>
          <cell r="B13" t="str">
            <v>Suscripciones a Periódicos, Revistas y Publicaciones Especializadas</v>
          </cell>
          <cell r="C13" t="str">
            <v>S</v>
          </cell>
        </row>
        <row r="14">
          <cell r="A14">
            <v>215003</v>
          </cell>
          <cell r="B14" t="str">
            <v>Material impreso e información digital</v>
          </cell>
          <cell r="C14" t="str">
            <v>S</v>
          </cell>
        </row>
        <row r="15">
          <cell r="A15">
            <v>216000</v>
          </cell>
          <cell r="B15" t="str">
            <v>Material de limpieza</v>
          </cell>
          <cell r="C15" t="str">
            <v>N</v>
          </cell>
        </row>
        <row r="16">
          <cell r="A16">
            <v>216001</v>
          </cell>
          <cell r="B16" t="str">
            <v>Material de limpieza</v>
          </cell>
          <cell r="C16" t="str">
            <v>S</v>
          </cell>
        </row>
        <row r="17">
          <cell r="A17">
            <v>217000</v>
          </cell>
          <cell r="B17" t="str">
            <v>Materiales y útiles de enseñanza</v>
          </cell>
          <cell r="C17" t="str">
            <v>N</v>
          </cell>
        </row>
        <row r="18">
          <cell r="A18">
            <v>217001</v>
          </cell>
          <cell r="B18" t="str">
            <v>Materiales y útiles de enseñanza</v>
          </cell>
          <cell r="C18" t="str">
            <v>S</v>
          </cell>
        </row>
        <row r="19">
          <cell r="A19">
            <v>218000</v>
          </cell>
          <cell r="B19" t="str">
            <v>Materiales para el registro e identificación de bienes y personas</v>
          </cell>
          <cell r="C19" t="str">
            <v>N</v>
          </cell>
        </row>
        <row r="20">
          <cell r="A20">
            <v>218001</v>
          </cell>
          <cell r="B20" t="str">
            <v>Materiales para el registro e identificación de bienes y personas</v>
          </cell>
          <cell r="C20" t="str">
            <v>S</v>
          </cell>
        </row>
        <row r="21">
          <cell r="A21">
            <v>218002</v>
          </cell>
          <cell r="B21" t="str">
            <v>Placas, Engomados, Calcomanías y Hologramas</v>
          </cell>
          <cell r="C21" t="str">
            <v>S</v>
          </cell>
        </row>
        <row r="22">
          <cell r="A22">
            <v>218003</v>
          </cell>
          <cell r="B22" t="str">
            <v>Emisión de Licencias de Conducir</v>
          </cell>
          <cell r="C22" t="str">
            <v>S</v>
          </cell>
        </row>
        <row r="23">
          <cell r="A23">
            <v>218004</v>
          </cell>
          <cell r="B23" t="str">
            <v>Emisión de Formatos Únicos de Control Vehicular</v>
          </cell>
          <cell r="C23" t="str">
            <v>S</v>
          </cell>
        </row>
        <row r="24">
          <cell r="A24">
            <v>220000</v>
          </cell>
          <cell r="B24" t="str">
            <v>ALIMENTOS Y UTENSILIOS</v>
          </cell>
          <cell r="C24" t="str">
            <v>N</v>
          </cell>
        </row>
        <row r="25">
          <cell r="A25">
            <v>221000</v>
          </cell>
          <cell r="B25" t="str">
            <v>Productos alimenticios para personas</v>
          </cell>
          <cell r="C25" t="str">
            <v>N</v>
          </cell>
        </row>
        <row r="26">
          <cell r="A26">
            <v>221001</v>
          </cell>
          <cell r="B26" t="str">
            <v>Alimentación de personas</v>
          </cell>
          <cell r="C26" t="str">
            <v>S</v>
          </cell>
        </row>
        <row r="27">
          <cell r="A27">
            <v>222000</v>
          </cell>
          <cell r="B27" t="str">
            <v>Productos alimenticios para animales</v>
          </cell>
          <cell r="C27" t="str">
            <v>N</v>
          </cell>
        </row>
        <row r="28">
          <cell r="A28">
            <v>222001</v>
          </cell>
          <cell r="B28" t="str">
            <v>Alimentación de animales</v>
          </cell>
          <cell r="C28" t="str">
            <v>S</v>
          </cell>
        </row>
        <row r="29">
          <cell r="A29">
            <v>223000</v>
          </cell>
          <cell r="B29" t="str">
            <v>Utensilios para el servicio de alimentación</v>
          </cell>
          <cell r="C29" t="str">
            <v>N</v>
          </cell>
        </row>
        <row r="30">
          <cell r="A30">
            <v>223001</v>
          </cell>
          <cell r="B30" t="str">
            <v>Utensilios para el servicio de alimentación</v>
          </cell>
          <cell r="C30" t="str">
            <v>S</v>
          </cell>
        </row>
        <row r="31">
          <cell r="A31">
            <v>230000</v>
          </cell>
          <cell r="B31" t="str">
            <v>MATERIAS PRIMAS Y MATERIALES DE PRODUCCIÓN Y COMERCIALIZACIÓN</v>
          </cell>
          <cell r="C31" t="str">
            <v>N</v>
          </cell>
        </row>
        <row r="32">
          <cell r="A32">
            <v>231000</v>
          </cell>
          <cell r="B32" t="str">
            <v>Productos alimenticios, agropecuarios y forestales adquiridos como materia prima</v>
          </cell>
          <cell r="C32" t="str">
            <v>N</v>
          </cell>
        </row>
        <row r="33">
          <cell r="A33">
            <v>231001</v>
          </cell>
          <cell r="B33" t="str">
            <v>Materias primas para producción</v>
          </cell>
          <cell r="C33" t="str">
            <v>S</v>
          </cell>
        </row>
        <row r="34">
          <cell r="A34">
            <v>232000</v>
          </cell>
          <cell r="B34" t="str">
            <v>Insumos textiles adquiridos como materia prima</v>
          </cell>
          <cell r="C34" t="str">
            <v>N</v>
          </cell>
        </row>
        <row r="35">
          <cell r="A35">
            <v>232001</v>
          </cell>
          <cell r="B35" t="str">
            <v>Insumos textiles adquiridos como materia prima</v>
          </cell>
          <cell r="C35" t="str">
            <v>S</v>
          </cell>
        </row>
        <row r="36">
          <cell r="A36">
            <v>233000</v>
          </cell>
          <cell r="B36" t="str">
            <v>Productos de papel, cartón e impresos adquiridos como materia prima</v>
          </cell>
          <cell r="C36" t="str">
            <v>N</v>
          </cell>
        </row>
        <row r="37">
          <cell r="A37">
            <v>233001</v>
          </cell>
          <cell r="B37" t="str">
            <v>Productos de papel, cartón e impresos adquiridos como materia prima</v>
          </cell>
          <cell r="C37" t="str">
            <v>S</v>
          </cell>
        </row>
        <row r="38">
          <cell r="A38">
            <v>234000</v>
          </cell>
          <cell r="B38" t="str">
            <v>Combustibles, lubricantes, aditivos, carbón y sus derivados adquiridos como materia prima</v>
          </cell>
          <cell r="C38" t="str">
            <v>N</v>
          </cell>
        </row>
        <row r="39">
          <cell r="A39">
            <v>234001</v>
          </cell>
          <cell r="B39" t="str">
            <v>Combustibles, lubricantes, aditivos, carbón y sus derivados adquiridos como materia prima</v>
          </cell>
          <cell r="C39" t="str">
            <v>S</v>
          </cell>
        </row>
        <row r="40">
          <cell r="A40">
            <v>235000</v>
          </cell>
          <cell r="B40" t="str">
            <v>Productos químicos, farmacéuticos y de laboratorio adquiridos como materia prima</v>
          </cell>
          <cell r="C40" t="str">
            <v>N</v>
          </cell>
        </row>
        <row r="41">
          <cell r="A41">
            <v>235001</v>
          </cell>
          <cell r="B41" t="str">
            <v>Productos químicos, farmacéuticos y de laboratorio adquiridos como materia prima</v>
          </cell>
          <cell r="C41" t="str">
            <v>S</v>
          </cell>
        </row>
        <row r="42">
          <cell r="A42">
            <v>236000</v>
          </cell>
          <cell r="B42" t="str">
            <v>Productos metálicos y a base de minerales no metálicos adquiridos como materia prima</v>
          </cell>
          <cell r="C42" t="str">
            <v>N</v>
          </cell>
        </row>
        <row r="43">
          <cell r="A43">
            <v>236001</v>
          </cell>
          <cell r="B43" t="str">
            <v>Productos metálicos y a base de minerales no metálicos adquiridos como materia prima</v>
          </cell>
          <cell r="C43" t="str">
            <v>S</v>
          </cell>
        </row>
        <row r="44">
          <cell r="A44">
            <v>237000</v>
          </cell>
          <cell r="B44" t="str">
            <v>Productos de cuero, piel, plástico y hule adquiridos como materia prima</v>
          </cell>
          <cell r="C44" t="str">
            <v>N</v>
          </cell>
        </row>
        <row r="45">
          <cell r="A45">
            <v>237001</v>
          </cell>
          <cell r="B45" t="str">
            <v>Productos de cuero, piel, plástico y hule adquiridos como materia prima</v>
          </cell>
          <cell r="C45" t="str">
            <v>S</v>
          </cell>
        </row>
        <row r="46">
          <cell r="A46">
            <v>238000</v>
          </cell>
          <cell r="B46" t="str">
            <v>Mercancías adquiridas para su comercialización</v>
          </cell>
          <cell r="C46" t="str">
            <v>N</v>
          </cell>
        </row>
        <row r="47">
          <cell r="A47">
            <v>238001</v>
          </cell>
          <cell r="B47" t="str">
            <v>Mercancías adquiridas para su comercialización</v>
          </cell>
          <cell r="C47" t="str">
            <v>S</v>
          </cell>
        </row>
        <row r="48">
          <cell r="A48">
            <v>240000</v>
          </cell>
          <cell r="B48" t="str">
            <v>MATERIALES Y ARTÍCULOS DE CONSTRUCCIÓN Y DE REPARACIÓN</v>
          </cell>
          <cell r="C48" t="str">
            <v>N</v>
          </cell>
        </row>
        <row r="49">
          <cell r="A49">
            <v>241000</v>
          </cell>
          <cell r="B49" t="str">
            <v>Productos minerales no metálicos</v>
          </cell>
          <cell r="C49" t="str">
            <v>N</v>
          </cell>
        </row>
        <row r="50">
          <cell r="A50">
            <v>241001</v>
          </cell>
          <cell r="B50" t="str">
            <v>Productos minerales no metálicos</v>
          </cell>
          <cell r="C50" t="str">
            <v>S</v>
          </cell>
        </row>
        <row r="51">
          <cell r="A51">
            <v>242000</v>
          </cell>
          <cell r="B51" t="str">
            <v>Cemento y productos de concreto</v>
          </cell>
          <cell r="C51" t="str">
            <v>N</v>
          </cell>
        </row>
        <row r="52">
          <cell r="A52">
            <v>242001</v>
          </cell>
          <cell r="B52" t="str">
            <v>Cemento y productos de concreto</v>
          </cell>
          <cell r="C52" t="str">
            <v>S</v>
          </cell>
        </row>
        <row r="53">
          <cell r="A53">
            <v>243000</v>
          </cell>
          <cell r="B53" t="str">
            <v>Cal, yeso y productos de yeso</v>
          </cell>
          <cell r="C53" t="str">
            <v>N</v>
          </cell>
        </row>
        <row r="54">
          <cell r="A54">
            <v>243001</v>
          </cell>
          <cell r="B54" t="str">
            <v>Cal, yeso y productos de yeso</v>
          </cell>
          <cell r="C54" t="str">
            <v>S</v>
          </cell>
        </row>
        <row r="55">
          <cell r="A55">
            <v>244000</v>
          </cell>
          <cell r="B55" t="str">
            <v>Madera y productos de madera</v>
          </cell>
          <cell r="C55" t="str">
            <v>N</v>
          </cell>
        </row>
        <row r="56">
          <cell r="A56">
            <v>244001</v>
          </cell>
          <cell r="B56" t="str">
            <v>Madera y productos de madera</v>
          </cell>
          <cell r="C56" t="str">
            <v>S</v>
          </cell>
        </row>
        <row r="57">
          <cell r="A57">
            <v>245000</v>
          </cell>
          <cell r="B57" t="str">
            <v>Vidrio y productos de vidrio</v>
          </cell>
          <cell r="C57" t="str">
            <v>N</v>
          </cell>
        </row>
        <row r="58">
          <cell r="A58">
            <v>245001</v>
          </cell>
          <cell r="B58" t="str">
            <v>Vidrio y productos de vidrio</v>
          </cell>
          <cell r="C58" t="str">
            <v>S</v>
          </cell>
        </row>
        <row r="59">
          <cell r="A59">
            <v>246000</v>
          </cell>
          <cell r="B59" t="str">
            <v>Material eléctrico y electrónico</v>
          </cell>
          <cell r="C59" t="str">
            <v>N</v>
          </cell>
        </row>
        <row r="60">
          <cell r="A60">
            <v>246001</v>
          </cell>
          <cell r="B60" t="str">
            <v>Material eléctrico</v>
          </cell>
          <cell r="C60" t="str">
            <v>S</v>
          </cell>
        </row>
        <row r="61">
          <cell r="A61">
            <v>246002</v>
          </cell>
          <cell r="B61" t="str">
            <v>Material electrónico</v>
          </cell>
          <cell r="C61" t="str">
            <v>S</v>
          </cell>
        </row>
        <row r="62">
          <cell r="A62">
            <v>247000</v>
          </cell>
          <cell r="B62" t="str">
            <v>Artículos metálicos para la construcción</v>
          </cell>
          <cell r="C62" t="str">
            <v>N</v>
          </cell>
        </row>
        <row r="63">
          <cell r="A63">
            <v>247001</v>
          </cell>
          <cell r="B63" t="str">
            <v>Artículos metálicos para la construcción</v>
          </cell>
          <cell r="C63" t="str">
            <v>S</v>
          </cell>
        </row>
        <row r="64">
          <cell r="A64">
            <v>248000</v>
          </cell>
          <cell r="B64" t="str">
            <v>Materiales complementarios</v>
          </cell>
          <cell r="C64" t="str">
            <v>N</v>
          </cell>
        </row>
        <row r="65">
          <cell r="A65">
            <v>248001</v>
          </cell>
          <cell r="B65" t="str">
            <v>Materiales complementarios</v>
          </cell>
          <cell r="C65" t="str">
            <v>S</v>
          </cell>
        </row>
        <row r="66">
          <cell r="A66">
            <v>249000</v>
          </cell>
          <cell r="B66" t="str">
            <v>Otros materiales y artículos de construcción y reparación</v>
          </cell>
          <cell r="C66" t="str">
            <v>N</v>
          </cell>
        </row>
        <row r="67">
          <cell r="A67">
            <v>249001</v>
          </cell>
          <cell r="B67" t="str">
            <v>Materiales de construcción y complementarios</v>
          </cell>
          <cell r="C67" t="str">
            <v>S</v>
          </cell>
        </row>
        <row r="68">
          <cell r="A68">
            <v>249002</v>
          </cell>
          <cell r="B68" t="str">
            <v>Otros materiales de construcción y reparación</v>
          </cell>
          <cell r="C68" t="str">
            <v>S</v>
          </cell>
        </row>
        <row r="69">
          <cell r="A69">
            <v>250000</v>
          </cell>
          <cell r="B69" t="str">
            <v>PRODUCTOS QUÍMICOS, FARMACÉUTICOS Y DE LABORATORIO</v>
          </cell>
          <cell r="C69" t="str">
            <v>N</v>
          </cell>
        </row>
        <row r="70">
          <cell r="A70">
            <v>251000</v>
          </cell>
          <cell r="B70" t="str">
            <v>Productos químicos básicos</v>
          </cell>
          <cell r="C70" t="str">
            <v>N</v>
          </cell>
        </row>
        <row r="71">
          <cell r="A71">
            <v>251001</v>
          </cell>
          <cell r="B71" t="str">
            <v>Gas Refrigerante</v>
          </cell>
          <cell r="C71" t="str">
            <v>S</v>
          </cell>
        </row>
        <row r="72">
          <cell r="A72">
            <v>252000</v>
          </cell>
          <cell r="B72" t="str">
            <v>Fertilizantes, pesticidas y otros agroquímicos</v>
          </cell>
          <cell r="C72" t="str">
            <v>N</v>
          </cell>
        </row>
        <row r="73">
          <cell r="A73">
            <v>252001</v>
          </cell>
          <cell r="B73" t="str">
            <v>Fertilizantes, pesticidas y otros agroquímicos</v>
          </cell>
          <cell r="C73" t="str">
            <v>S</v>
          </cell>
        </row>
        <row r="74">
          <cell r="A74">
            <v>253000</v>
          </cell>
          <cell r="B74" t="str">
            <v>Medicinas y productos químicos, farmacéuticos</v>
          </cell>
          <cell r="C74" t="str">
            <v>N</v>
          </cell>
        </row>
        <row r="75">
          <cell r="A75">
            <v>253001</v>
          </cell>
          <cell r="B75" t="str">
            <v>Material y productos químicos, farmacéuticos</v>
          </cell>
          <cell r="C75" t="str">
            <v>S</v>
          </cell>
        </row>
        <row r="76">
          <cell r="A76">
            <v>254000</v>
          </cell>
          <cell r="B76" t="str">
            <v>Materiales, accesorios y suministros médicos</v>
          </cell>
          <cell r="C76" t="str">
            <v>N</v>
          </cell>
        </row>
        <row r="77">
          <cell r="A77">
            <v>254001</v>
          </cell>
          <cell r="B77" t="str">
            <v>Materiales, accesorios y suministros médicos</v>
          </cell>
          <cell r="C77" t="str">
            <v>S</v>
          </cell>
        </row>
        <row r="78">
          <cell r="A78">
            <v>255000</v>
          </cell>
          <cell r="B78" t="str">
            <v>Materiales, accesorios y suministros de laboratorio</v>
          </cell>
          <cell r="C78" t="str">
            <v>N</v>
          </cell>
        </row>
        <row r="79">
          <cell r="A79">
            <v>255001</v>
          </cell>
          <cell r="B79" t="str">
            <v>Materiales, accesorios y suministros de laboratorio</v>
          </cell>
          <cell r="C79" t="str">
            <v>S</v>
          </cell>
        </row>
        <row r="80">
          <cell r="A80">
            <v>256000</v>
          </cell>
          <cell r="B80" t="str">
            <v>Fibras sintéticas, hules, plásticos y derivados</v>
          </cell>
          <cell r="C80" t="str">
            <v>N</v>
          </cell>
        </row>
        <row r="81">
          <cell r="A81">
            <v>256001</v>
          </cell>
          <cell r="B81" t="str">
            <v>Fibras sintéticas, hules, plásticos y derivados</v>
          </cell>
          <cell r="C81" t="str">
            <v>S</v>
          </cell>
        </row>
        <row r="82">
          <cell r="A82">
            <v>259000</v>
          </cell>
          <cell r="B82" t="str">
            <v>Otros productos químicos</v>
          </cell>
          <cell r="C82" t="str">
            <v>N</v>
          </cell>
        </row>
        <row r="83">
          <cell r="A83">
            <v>259001</v>
          </cell>
          <cell r="B83" t="str">
            <v>Otros productos químicos</v>
          </cell>
          <cell r="C83" t="str">
            <v>S</v>
          </cell>
        </row>
        <row r="84">
          <cell r="A84">
            <v>260000</v>
          </cell>
          <cell r="B84" t="str">
            <v>COMBUSTIBLES, LUBRICANTES Y ADITIVOS</v>
          </cell>
          <cell r="C84" t="str">
            <v>N</v>
          </cell>
        </row>
        <row r="85">
          <cell r="A85">
            <v>261000</v>
          </cell>
          <cell r="B85" t="str">
            <v>Combustibles, lubricantes y aditivos</v>
          </cell>
          <cell r="C85" t="str">
            <v>N</v>
          </cell>
        </row>
        <row r="86">
          <cell r="A86">
            <v>261001</v>
          </cell>
          <cell r="B86" t="str">
            <v>Combustibles</v>
          </cell>
          <cell r="C86" t="str">
            <v>S</v>
          </cell>
        </row>
        <row r="87">
          <cell r="A87">
            <v>261002</v>
          </cell>
          <cell r="B87" t="str">
            <v>Lubricantes y aditivos</v>
          </cell>
          <cell r="C87" t="str">
            <v>S</v>
          </cell>
        </row>
        <row r="88">
          <cell r="A88">
            <v>262000</v>
          </cell>
          <cell r="B88" t="str">
            <v>Carbón y sus derivados</v>
          </cell>
          <cell r="C88" t="str">
            <v>N</v>
          </cell>
        </row>
        <row r="89">
          <cell r="A89">
            <v>262001</v>
          </cell>
          <cell r="B89" t="str">
            <v>Carbón y sus derivados</v>
          </cell>
          <cell r="C89" t="str">
            <v>S</v>
          </cell>
        </row>
        <row r="90">
          <cell r="A90">
            <v>270000</v>
          </cell>
          <cell r="B90" t="str">
            <v>VESTUARIO, BLANCOS, PRENDAS DE PROTECCIÓN Y ARTÍCULOS DEPORTIVOS</v>
          </cell>
          <cell r="C90" t="str">
            <v>N</v>
          </cell>
        </row>
        <row r="91">
          <cell r="A91">
            <v>271000</v>
          </cell>
          <cell r="B91" t="str">
            <v>Vestuario y uniformes</v>
          </cell>
          <cell r="C91" t="str">
            <v>N</v>
          </cell>
        </row>
        <row r="92">
          <cell r="A92">
            <v>271001</v>
          </cell>
          <cell r="B92" t="str">
            <v>Ropa, vestuario y equipo</v>
          </cell>
          <cell r="C92" t="str">
            <v>S</v>
          </cell>
        </row>
        <row r="93">
          <cell r="A93">
            <v>272000</v>
          </cell>
          <cell r="B93" t="str">
            <v>Prendas de seguridad y protección personal</v>
          </cell>
          <cell r="C93" t="str">
            <v>N</v>
          </cell>
        </row>
        <row r="94">
          <cell r="A94">
            <v>272001</v>
          </cell>
          <cell r="B94" t="str">
            <v>Materiales explosivos y de seguridad pública</v>
          </cell>
          <cell r="C94" t="str">
            <v>S</v>
          </cell>
        </row>
        <row r="95">
          <cell r="A95">
            <v>272002</v>
          </cell>
          <cell r="B95" t="str">
            <v>Prendas de seguridad y protección personal</v>
          </cell>
          <cell r="C95" t="str">
            <v>S</v>
          </cell>
        </row>
        <row r="96">
          <cell r="A96">
            <v>273000</v>
          </cell>
          <cell r="B96" t="str">
            <v>Artículos deportivos</v>
          </cell>
          <cell r="C96" t="str">
            <v>N</v>
          </cell>
        </row>
        <row r="97">
          <cell r="A97">
            <v>273001</v>
          </cell>
          <cell r="B97" t="str">
            <v>Artículos deportivos</v>
          </cell>
          <cell r="C97" t="str">
            <v>S</v>
          </cell>
        </row>
        <row r="98">
          <cell r="A98">
            <v>274000</v>
          </cell>
          <cell r="B98" t="str">
            <v>Productos textiles</v>
          </cell>
          <cell r="C98" t="str">
            <v>N</v>
          </cell>
        </row>
        <row r="99">
          <cell r="A99">
            <v>274001</v>
          </cell>
          <cell r="B99" t="str">
            <v>Productos textiles</v>
          </cell>
          <cell r="C99" t="str">
            <v>S</v>
          </cell>
        </row>
        <row r="100">
          <cell r="A100">
            <v>275000</v>
          </cell>
          <cell r="B100" t="str">
            <v>Blancos y otros productos textiles, excepto prendas de vestir</v>
          </cell>
          <cell r="C100" t="str">
            <v>N</v>
          </cell>
        </row>
        <row r="101">
          <cell r="A101">
            <v>275001</v>
          </cell>
          <cell r="B101" t="str">
            <v>Blancos y otros productos textiles, excepto prendas de vestir</v>
          </cell>
          <cell r="C101" t="str">
            <v>S</v>
          </cell>
        </row>
        <row r="102">
          <cell r="A102">
            <v>280000</v>
          </cell>
          <cell r="B102" t="str">
            <v>MATERIALES Y SUMINISTROS PARA SEGURIDAD</v>
          </cell>
          <cell r="C102" t="str">
            <v>N</v>
          </cell>
        </row>
        <row r="103">
          <cell r="A103">
            <v>281000</v>
          </cell>
          <cell r="B103" t="str">
            <v>Sustancias y materiales explosivos</v>
          </cell>
          <cell r="C103" t="str">
            <v>N</v>
          </cell>
        </row>
        <row r="104">
          <cell r="A104">
            <v>281001</v>
          </cell>
          <cell r="B104" t="str">
            <v>Sustancias y materiales explosivos</v>
          </cell>
          <cell r="C104" t="str">
            <v>S</v>
          </cell>
        </row>
        <row r="105">
          <cell r="A105">
            <v>282000</v>
          </cell>
          <cell r="B105" t="str">
            <v>Materiales de seguridad pública</v>
          </cell>
          <cell r="C105" t="str">
            <v>N</v>
          </cell>
        </row>
        <row r="106">
          <cell r="A106">
            <v>282001</v>
          </cell>
          <cell r="B106" t="str">
            <v>Materiales de seguridad pública</v>
          </cell>
          <cell r="C106" t="str">
            <v>S</v>
          </cell>
        </row>
        <row r="107">
          <cell r="A107">
            <v>283000</v>
          </cell>
          <cell r="B107" t="str">
            <v>Prendas de protección para seguridad pública y nacional</v>
          </cell>
          <cell r="C107" t="str">
            <v>N</v>
          </cell>
        </row>
        <row r="108">
          <cell r="A108">
            <v>283001</v>
          </cell>
          <cell r="B108" t="str">
            <v>Prendas de protección para seguridad pública</v>
          </cell>
          <cell r="C108" t="str">
            <v>S</v>
          </cell>
        </row>
        <row r="109">
          <cell r="A109">
            <v>290000</v>
          </cell>
          <cell r="B109" t="str">
            <v>HERRAMIENTAS, REFACCIONES Y ACCESORIOS MENORES</v>
          </cell>
          <cell r="C109" t="str">
            <v>N</v>
          </cell>
        </row>
        <row r="110">
          <cell r="A110">
            <v>291000</v>
          </cell>
          <cell r="B110" t="str">
            <v>Herramientas menores</v>
          </cell>
          <cell r="C110" t="str">
            <v>N</v>
          </cell>
        </row>
        <row r="111">
          <cell r="A111">
            <v>291001</v>
          </cell>
          <cell r="B111" t="str">
            <v>Herramientas Auxiliares de Trabajo</v>
          </cell>
          <cell r="C111" t="str">
            <v>S</v>
          </cell>
        </row>
        <row r="112">
          <cell r="A112">
            <v>292000</v>
          </cell>
          <cell r="B112" t="str">
            <v>Refacciones y accesorios menores de edificios</v>
          </cell>
          <cell r="C112" t="str">
            <v>N</v>
          </cell>
        </row>
        <row r="113">
          <cell r="A113">
            <v>292001</v>
          </cell>
          <cell r="B113" t="str">
            <v>Refacciones y accesorios menores de edificios (candados, cerraduras, chapas, llaves)</v>
          </cell>
          <cell r="C113" t="str">
            <v>S</v>
          </cell>
        </row>
        <row r="114">
          <cell r="A114">
            <v>293000</v>
          </cell>
          <cell r="B114" t="str">
            <v>Refacciones y accesorios menores de mobiliario y equipo de administración, educacional y recreativo</v>
          </cell>
          <cell r="C114" t="str">
            <v>N</v>
          </cell>
        </row>
        <row r="115">
          <cell r="A115">
            <v>293001</v>
          </cell>
          <cell r="B115" t="str">
            <v>Refacciones y accesorios menores de mobiliario y equipo de administración, educacional y recreativo</v>
          </cell>
          <cell r="C115" t="str">
            <v>S</v>
          </cell>
        </row>
        <row r="116">
          <cell r="A116">
            <v>294000</v>
          </cell>
          <cell r="B116" t="str">
            <v>Refacciones y accesorios menores de equipo de cómputo y tecnologías de la información</v>
          </cell>
          <cell r="C116" t="str">
            <v>N</v>
          </cell>
        </row>
        <row r="117">
          <cell r="A117">
            <v>294001</v>
          </cell>
          <cell r="B117" t="str">
            <v>Dispositivos Internos y Externos de Equipo de Computo</v>
          </cell>
          <cell r="C117" t="str">
            <v>S</v>
          </cell>
        </row>
        <row r="118">
          <cell r="A118">
            <v>294002</v>
          </cell>
          <cell r="B118" t="str">
            <v>Refacciones y Accesorios Menores de Equipo de Computo</v>
          </cell>
          <cell r="C118" t="str">
            <v>S</v>
          </cell>
        </row>
        <row r="119">
          <cell r="A119">
            <v>295000</v>
          </cell>
          <cell r="B119" t="str">
            <v>Refacciones y accesorios menores de equipo e instrumental médico y de laboratorio</v>
          </cell>
          <cell r="C119" t="str">
            <v>N</v>
          </cell>
        </row>
        <row r="120">
          <cell r="A120">
            <v>295001</v>
          </cell>
          <cell r="B120" t="str">
            <v>Refacciones y accesorios menores de equipo e instrumental médico y de laboratorio</v>
          </cell>
          <cell r="C120" t="str">
            <v>S</v>
          </cell>
        </row>
        <row r="121">
          <cell r="A121">
            <v>296000</v>
          </cell>
          <cell r="B121" t="str">
            <v>Refacciones y accesorios menores de equipo de transporte</v>
          </cell>
          <cell r="C121" t="str">
            <v>N</v>
          </cell>
        </row>
        <row r="122">
          <cell r="A122">
            <v>296001</v>
          </cell>
          <cell r="B122" t="str">
            <v>Herramientas, refacciones y accesorios</v>
          </cell>
          <cell r="C122" t="str">
            <v>S</v>
          </cell>
        </row>
        <row r="123">
          <cell r="A123">
            <v>297000</v>
          </cell>
          <cell r="B123" t="str">
            <v>Refacciones y accesorios menores de equipo de defensa y seguridad</v>
          </cell>
          <cell r="C123" t="str">
            <v>N</v>
          </cell>
        </row>
        <row r="124">
          <cell r="A124">
            <v>297001</v>
          </cell>
          <cell r="B124" t="str">
            <v>Refacciones y accesorios menores de equipo de defensa y seguridad</v>
          </cell>
          <cell r="C124" t="str">
            <v>S</v>
          </cell>
        </row>
        <row r="125">
          <cell r="A125">
            <v>298000</v>
          </cell>
          <cell r="B125" t="str">
            <v>Refacciones y accesorios menores de maquinaria y otros equipos</v>
          </cell>
          <cell r="C125" t="str">
            <v>N</v>
          </cell>
        </row>
        <row r="126">
          <cell r="A126">
            <v>298001</v>
          </cell>
          <cell r="B126" t="str">
            <v>Refacciones y accesorios menores de maquinaria y otros equipos</v>
          </cell>
          <cell r="C126" t="str">
            <v>S</v>
          </cell>
        </row>
        <row r="127">
          <cell r="A127">
            <v>299000</v>
          </cell>
          <cell r="B127" t="str">
            <v>Refacciones y accesorios menores otros bienes muebles</v>
          </cell>
          <cell r="C127" t="str">
            <v>N</v>
          </cell>
        </row>
        <row r="128">
          <cell r="A128">
            <v>299001</v>
          </cell>
          <cell r="B128" t="str">
            <v>Refacciones y accesorios menores otros bienes muebles</v>
          </cell>
          <cell r="C128" t="str">
            <v>S</v>
          </cell>
        </row>
        <row r="129">
          <cell r="A129">
            <v>300000</v>
          </cell>
          <cell r="B129" t="str">
            <v>SERVICIOS GENERALES</v>
          </cell>
          <cell r="C129" t="str">
            <v>N</v>
          </cell>
        </row>
        <row r="130">
          <cell r="A130">
            <v>310000</v>
          </cell>
          <cell r="B130" t="str">
            <v>SERVICIOS BÁSICOS</v>
          </cell>
          <cell r="C130" t="str">
            <v>N</v>
          </cell>
        </row>
        <row r="131">
          <cell r="A131">
            <v>311000</v>
          </cell>
          <cell r="B131" t="str">
            <v>Energía eléctrica</v>
          </cell>
          <cell r="C131" t="str">
            <v>N</v>
          </cell>
        </row>
        <row r="132">
          <cell r="A132">
            <v>311001</v>
          </cell>
          <cell r="B132" t="str">
            <v>Servicio de energía eléctrica</v>
          </cell>
          <cell r="C132" t="str">
            <v>S</v>
          </cell>
        </row>
        <row r="133">
          <cell r="A133">
            <v>311002</v>
          </cell>
          <cell r="B133" t="str">
            <v>Contratación del servicio de energía eléctrica</v>
          </cell>
          <cell r="C133" t="str">
            <v>S</v>
          </cell>
        </row>
        <row r="134">
          <cell r="A134">
            <v>312000</v>
          </cell>
          <cell r="B134" t="str">
            <v>Gas</v>
          </cell>
          <cell r="C134" t="str">
            <v>N</v>
          </cell>
        </row>
        <row r="135">
          <cell r="A135">
            <v>312001</v>
          </cell>
          <cell r="B135" t="str">
            <v>Servicio de Gas L.P.</v>
          </cell>
          <cell r="C135" t="str">
            <v>S</v>
          </cell>
        </row>
        <row r="136">
          <cell r="A136">
            <v>313000</v>
          </cell>
          <cell r="B136" t="str">
            <v>Agua</v>
          </cell>
          <cell r="C136" t="str">
            <v>N</v>
          </cell>
        </row>
        <row r="137">
          <cell r="A137">
            <v>313001</v>
          </cell>
          <cell r="B137" t="str">
            <v>Servicio de agua potable</v>
          </cell>
          <cell r="C137" t="str">
            <v>S</v>
          </cell>
        </row>
        <row r="138">
          <cell r="A138">
            <v>313002</v>
          </cell>
          <cell r="B138" t="str">
            <v>Contratación del servicio de agua potable</v>
          </cell>
          <cell r="C138" t="str">
            <v>S</v>
          </cell>
        </row>
        <row r="139">
          <cell r="A139">
            <v>314000</v>
          </cell>
          <cell r="B139" t="str">
            <v>Telefonía tradicional</v>
          </cell>
          <cell r="C139" t="str">
            <v>N</v>
          </cell>
        </row>
        <row r="140">
          <cell r="A140">
            <v>314001</v>
          </cell>
          <cell r="B140" t="str">
            <v>Servicio telefónico</v>
          </cell>
          <cell r="C140" t="str">
            <v>S</v>
          </cell>
        </row>
        <row r="141">
          <cell r="A141">
            <v>315000</v>
          </cell>
          <cell r="B141" t="str">
            <v>Telefonía celular</v>
          </cell>
          <cell r="C141" t="str">
            <v>N</v>
          </cell>
        </row>
        <row r="142">
          <cell r="A142">
            <v>315001</v>
          </cell>
          <cell r="B142" t="str">
            <v>Telefonía celular</v>
          </cell>
          <cell r="C142" t="str">
            <v>S</v>
          </cell>
        </row>
        <row r="143">
          <cell r="A143">
            <v>316000</v>
          </cell>
          <cell r="B143" t="str">
            <v>Servicios de telecomunicaciones y satélites</v>
          </cell>
          <cell r="C143" t="str">
            <v>N</v>
          </cell>
        </row>
        <row r="144">
          <cell r="A144">
            <v>316001</v>
          </cell>
          <cell r="B144" t="str">
            <v>Servicios de telecomunicaciones y satélites</v>
          </cell>
          <cell r="C144" t="str">
            <v>S</v>
          </cell>
        </row>
        <row r="145">
          <cell r="A145">
            <v>317000</v>
          </cell>
          <cell r="B145" t="str">
            <v>Servicios de acceso de Internet, redes y procesamiento de información</v>
          </cell>
          <cell r="C145" t="str">
            <v>N</v>
          </cell>
        </row>
        <row r="146">
          <cell r="A146">
            <v>317001</v>
          </cell>
          <cell r="B146" t="str">
            <v>Servicios de acceso de Internet, redes y procesamiento de información</v>
          </cell>
          <cell r="C146" t="str">
            <v>S</v>
          </cell>
        </row>
        <row r="147">
          <cell r="A147">
            <v>318000</v>
          </cell>
          <cell r="B147" t="str">
            <v>Servicios postales y telegráficos</v>
          </cell>
          <cell r="C147" t="str">
            <v>N</v>
          </cell>
        </row>
        <row r="148">
          <cell r="A148">
            <v>318001</v>
          </cell>
          <cell r="B148" t="str">
            <v>Servicio postal y telegráfico</v>
          </cell>
          <cell r="C148" t="str">
            <v>S</v>
          </cell>
        </row>
        <row r="149">
          <cell r="A149">
            <v>319000</v>
          </cell>
          <cell r="B149" t="str">
            <v>Servicios integrales y otros servicios</v>
          </cell>
          <cell r="C149" t="str">
            <v>N</v>
          </cell>
        </row>
        <row r="150">
          <cell r="A150">
            <v>319001</v>
          </cell>
          <cell r="B150" t="str">
            <v>Servicios Integrales</v>
          </cell>
          <cell r="C150" t="str">
            <v>S</v>
          </cell>
        </row>
        <row r="151">
          <cell r="A151">
            <v>320000</v>
          </cell>
          <cell r="B151" t="str">
            <v>SERVICIOS DE ARRENDAMIENTO</v>
          </cell>
          <cell r="C151" t="str">
            <v>N</v>
          </cell>
        </row>
        <row r="152">
          <cell r="A152">
            <v>321000</v>
          </cell>
          <cell r="B152" t="str">
            <v>Arrendamiento de terrenos</v>
          </cell>
          <cell r="C152" t="str">
            <v>N</v>
          </cell>
        </row>
        <row r="153">
          <cell r="A153">
            <v>321001</v>
          </cell>
          <cell r="B153" t="str">
            <v>Arrendamiento de terrenos</v>
          </cell>
          <cell r="C153" t="str">
            <v>S</v>
          </cell>
        </row>
        <row r="154">
          <cell r="A154">
            <v>322000</v>
          </cell>
          <cell r="B154" t="str">
            <v>Arrendamiento de edificios</v>
          </cell>
          <cell r="C154" t="str">
            <v>N</v>
          </cell>
        </row>
        <row r="155">
          <cell r="A155">
            <v>322001</v>
          </cell>
          <cell r="B155" t="str">
            <v>Arrendamiento de edificios</v>
          </cell>
          <cell r="C155" t="str">
            <v>S</v>
          </cell>
        </row>
        <row r="156">
          <cell r="A156">
            <v>323000</v>
          </cell>
          <cell r="B156" t="str">
            <v>Arrendamiento de mobiliario y equipo de administración, educacional y recreativo</v>
          </cell>
          <cell r="C156" t="str">
            <v>N</v>
          </cell>
        </row>
        <row r="157">
          <cell r="A157">
            <v>323001</v>
          </cell>
          <cell r="B157" t="str">
            <v>Arrendamiento de maquinaria y equipo</v>
          </cell>
          <cell r="C157" t="str">
            <v>S</v>
          </cell>
        </row>
        <row r="158">
          <cell r="A158">
            <v>323002</v>
          </cell>
          <cell r="B158" t="str">
            <v>Arrendamiento de maquinaria y equipo de Administración</v>
          </cell>
          <cell r="C158" t="str">
            <v>S</v>
          </cell>
        </row>
        <row r="159">
          <cell r="A159">
            <v>323003</v>
          </cell>
          <cell r="B159" t="str">
            <v>Arrendamiento de Equipo Educacional y Recreativo</v>
          </cell>
          <cell r="C159" t="str">
            <v>S</v>
          </cell>
        </row>
        <row r="160">
          <cell r="A160">
            <v>323004</v>
          </cell>
          <cell r="B160" t="str">
            <v>Arrendamiento de Mobiliario y Equipo</v>
          </cell>
          <cell r="C160" t="str">
            <v>S</v>
          </cell>
        </row>
        <row r="161">
          <cell r="A161">
            <v>324000</v>
          </cell>
          <cell r="B161" t="str">
            <v>Arrendamiento de equipo e instrumental médico y de laboratorio</v>
          </cell>
          <cell r="C161" t="str">
            <v>N</v>
          </cell>
        </row>
        <row r="162">
          <cell r="A162">
            <v>324001</v>
          </cell>
          <cell r="B162" t="str">
            <v>Arrendamiento de equipo e instrumental médico y de laboratorio</v>
          </cell>
          <cell r="C162" t="str">
            <v>S</v>
          </cell>
        </row>
        <row r="163">
          <cell r="A163">
            <v>325000</v>
          </cell>
          <cell r="B163" t="str">
            <v>Arrendamiento de equipo de transporte</v>
          </cell>
          <cell r="C163" t="str">
            <v>N</v>
          </cell>
        </row>
        <row r="164">
          <cell r="A164">
            <v>325001</v>
          </cell>
          <cell r="B164" t="str">
            <v>Arrendamiento de equipo de transporte</v>
          </cell>
          <cell r="C164" t="str">
            <v>S</v>
          </cell>
        </row>
        <row r="165">
          <cell r="A165">
            <v>326000</v>
          </cell>
          <cell r="B165" t="str">
            <v>Arrendamiento de maquinaria, otros equipos y herramientas</v>
          </cell>
          <cell r="C165" t="str">
            <v>N</v>
          </cell>
        </row>
        <row r="166">
          <cell r="A166">
            <v>326001</v>
          </cell>
          <cell r="B166" t="str">
            <v>Arrendamiento de maquinaria, otros equipos y herramientas</v>
          </cell>
          <cell r="C166" t="str">
            <v>S</v>
          </cell>
        </row>
        <row r="167">
          <cell r="A167">
            <v>327000</v>
          </cell>
          <cell r="B167" t="str">
            <v>Arrendamiento de activos intangibles</v>
          </cell>
          <cell r="C167" t="str">
            <v>N</v>
          </cell>
        </row>
        <row r="168">
          <cell r="A168">
            <v>327001</v>
          </cell>
          <cell r="B168" t="str">
            <v>Arrendamiento de activos intangibles</v>
          </cell>
          <cell r="C168" t="str">
            <v>S</v>
          </cell>
        </row>
        <row r="169">
          <cell r="A169">
            <v>328000</v>
          </cell>
          <cell r="B169" t="str">
            <v>Arrendamiento financiero</v>
          </cell>
          <cell r="C169" t="str">
            <v>N</v>
          </cell>
        </row>
        <row r="170">
          <cell r="A170">
            <v>328001</v>
          </cell>
          <cell r="B170" t="str">
            <v>Arrendamiento financiero</v>
          </cell>
          <cell r="C170" t="str">
            <v>S</v>
          </cell>
        </row>
        <row r="171">
          <cell r="A171">
            <v>328002</v>
          </cell>
          <cell r="B171" t="str">
            <v>Programa Estatal de Arrendamiento Vehicular</v>
          </cell>
          <cell r="C171" t="str">
            <v>S</v>
          </cell>
        </row>
        <row r="172">
          <cell r="A172">
            <v>329000</v>
          </cell>
          <cell r="B172" t="str">
            <v>Otros arrendamientos</v>
          </cell>
          <cell r="C172" t="str">
            <v>N</v>
          </cell>
        </row>
        <row r="173">
          <cell r="A173">
            <v>329001</v>
          </cell>
          <cell r="B173" t="str">
            <v>Arrendamientos especiales</v>
          </cell>
          <cell r="C173" t="str">
            <v>S</v>
          </cell>
        </row>
        <row r="174">
          <cell r="A174">
            <v>330000</v>
          </cell>
          <cell r="B174" t="str">
            <v>SERVICIOS PROFESIONALES, CIENTÍFICOS, TÉCNICOS Y OTROS SERVICIOS</v>
          </cell>
          <cell r="C174" t="str">
            <v>N</v>
          </cell>
        </row>
        <row r="175">
          <cell r="A175">
            <v>331000</v>
          </cell>
          <cell r="B175" t="str">
            <v>Servicios legales, de contabilidad, auditoría y relacionados</v>
          </cell>
          <cell r="C175" t="str">
            <v>N</v>
          </cell>
        </row>
        <row r="176">
          <cell r="A176">
            <v>331001</v>
          </cell>
          <cell r="B176" t="str">
            <v>Asesorías</v>
          </cell>
          <cell r="C176" t="str">
            <v>S</v>
          </cell>
        </row>
        <row r="177">
          <cell r="A177">
            <v>331002</v>
          </cell>
          <cell r="B177" t="str">
            <v>Servicios Notariales</v>
          </cell>
          <cell r="C177" t="str">
            <v>S</v>
          </cell>
        </row>
        <row r="178">
          <cell r="A178">
            <v>331003</v>
          </cell>
          <cell r="B178" t="str">
            <v>Consultoría y Gestión</v>
          </cell>
          <cell r="C178" t="str">
            <v>S</v>
          </cell>
        </row>
        <row r="179">
          <cell r="A179">
            <v>332000</v>
          </cell>
          <cell r="B179" t="str">
            <v>Servicios de diseño, arquitectura, ingeniería y actividades relacionadas</v>
          </cell>
          <cell r="C179" t="str">
            <v>N</v>
          </cell>
        </row>
        <row r="180">
          <cell r="A180">
            <v>332001</v>
          </cell>
          <cell r="B180" t="str">
            <v>Servicios de diseño, arquitectura, ingeniería y actividades relacionadas</v>
          </cell>
          <cell r="C180" t="str">
            <v>S</v>
          </cell>
        </row>
        <row r="181">
          <cell r="A181">
            <v>333000</v>
          </cell>
          <cell r="B181" t="str">
            <v>Servicios de consultoría administrativa, procesos, técnica y en tecnologías de la información</v>
          </cell>
          <cell r="C181" t="str">
            <v>N</v>
          </cell>
        </row>
        <row r="182">
          <cell r="A182">
            <v>333001</v>
          </cell>
          <cell r="B182" t="str">
            <v>Estudios e investigaciones</v>
          </cell>
          <cell r="C182" t="str">
            <v>S</v>
          </cell>
        </row>
        <row r="183">
          <cell r="A183">
            <v>333002</v>
          </cell>
          <cell r="B183" t="str">
            <v>Sistematización de la Armonización Contable y Presupuestal</v>
          </cell>
          <cell r="C183" t="str">
            <v>S</v>
          </cell>
        </row>
        <row r="184">
          <cell r="A184">
            <v>333003</v>
          </cell>
          <cell r="B184" t="str">
            <v>Servicios de consultoría administrativa, procesos, técnica y en tecnologías de la información</v>
          </cell>
          <cell r="C184" t="str">
            <v>S</v>
          </cell>
        </row>
        <row r="185">
          <cell r="A185">
            <v>334000</v>
          </cell>
          <cell r="B185" t="str">
            <v>Servicios de capacitación</v>
          </cell>
          <cell r="C185" t="str">
            <v>N</v>
          </cell>
        </row>
        <row r="186">
          <cell r="A186">
            <v>334001</v>
          </cell>
          <cell r="B186" t="str">
            <v>Cuotas e inscripciones</v>
          </cell>
          <cell r="C186" t="str">
            <v>S</v>
          </cell>
        </row>
        <row r="187">
          <cell r="A187">
            <v>334002</v>
          </cell>
          <cell r="B187" t="str">
            <v>Servicios de Capacitación</v>
          </cell>
          <cell r="C187" t="str">
            <v>S</v>
          </cell>
        </row>
        <row r="188">
          <cell r="A188">
            <v>335000</v>
          </cell>
          <cell r="B188" t="str">
            <v>Servicios de investigación científica y desarrollo</v>
          </cell>
          <cell r="C188" t="str">
            <v>N</v>
          </cell>
        </row>
        <row r="189">
          <cell r="A189">
            <v>335001</v>
          </cell>
          <cell r="B189" t="str">
            <v>Servicios de investigación científica y desarrollo</v>
          </cell>
          <cell r="C189" t="str">
            <v>S</v>
          </cell>
        </row>
        <row r="190">
          <cell r="A190">
            <v>336000</v>
          </cell>
          <cell r="B190" t="str">
            <v>Servicios de apoyo administrativo, traducción, fotocopiado e impresión</v>
          </cell>
          <cell r="C190" t="str">
            <v>N</v>
          </cell>
        </row>
        <row r="191">
          <cell r="A191">
            <v>336001</v>
          </cell>
          <cell r="B191" t="str">
            <v>Servicio de Fotocopiado, Enmicado y Encuadernación de Documentos.</v>
          </cell>
          <cell r="C191" t="str">
            <v>S</v>
          </cell>
        </row>
        <row r="192">
          <cell r="A192">
            <v>336002</v>
          </cell>
          <cell r="B192" t="str">
            <v>Servicio de Impresión y Elaboración de Material Informativo</v>
          </cell>
          <cell r="C192" t="str">
            <v>S</v>
          </cell>
        </row>
        <row r="193">
          <cell r="A193">
            <v>337000</v>
          </cell>
          <cell r="B193" t="str">
            <v>Servicios de protección y seguridad</v>
          </cell>
          <cell r="C193" t="str">
            <v>N</v>
          </cell>
        </row>
        <row r="194">
          <cell r="A194">
            <v>337001</v>
          </cell>
          <cell r="B194" t="str">
            <v>Dispositivo de seguridad pública</v>
          </cell>
          <cell r="C194" t="str">
            <v>S</v>
          </cell>
        </row>
        <row r="195">
          <cell r="A195">
            <v>338000</v>
          </cell>
          <cell r="B195" t="str">
            <v>Servicios de vigilancia</v>
          </cell>
          <cell r="C195" t="str">
            <v>N</v>
          </cell>
        </row>
        <row r="196">
          <cell r="A196">
            <v>338001</v>
          </cell>
          <cell r="B196" t="str">
            <v>Servicio de seguridad privada</v>
          </cell>
          <cell r="C196" t="str">
            <v>S</v>
          </cell>
        </row>
        <row r="197">
          <cell r="A197">
            <v>339000</v>
          </cell>
          <cell r="B197" t="str">
            <v>Servicios profesionales, científicos y técnicos integrales</v>
          </cell>
          <cell r="C197" t="str">
            <v>N</v>
          </cell>
        </row>
        <row r="198">
          <cell r="A198">
            <v>339001</v>
          </cell>
          <cell r="B198" t="str">
            <v>Servicios profesionales, científicos y técnicos integrales</v>
          </cell>
          <cell r="C198" t="str">
            <v>S</v>
          </cell>
        </row>
        <row r="199">
          <cell r="A199">
            <v>340000</v>
          </cell>
          <cell r="B199" t="str">
            <v>SERVICIOS FINANCIEROS, BANCARIOS Y COMERCIALES</v>
          </cell>
          <cell r="C199" t="str">
            <v>N</v>
          </cell>
        </row>
        <row r="200">
          <cell r="A200">
            <v>341000</v>
          </cell>
          <cell r="B200" t="str">
            <v>Servicios financieros y bancarios</v>
          </cell>
          <cell r="C200" t="str">
            <v>N</v>
          </cell>
        </row>
        <row r="201">
          <cell r="A201">
            <v>341001</v>
          </cell>
          <cell r="B201" t="str">
            <v>Comisiones, descuentos y otros servicios bancarios</v>
          </cell>
          <cell r="C201" t="str">
            <v>S</v>
          </cell>
        </row>
        <row r="202">
          <cell r="A202">
            <v>342000</v>
          </cell>
          <cell r="B202" t="str">
            <v>Servicios de cobranza, investigación crediticia y similar</v>
          </cell>
          <cell r="C202" t="str">
            <v>N</v>
          </cell>
        </row>
        <row r="203">
          <cell r="A203">
            <v>342001</v>
          </cell>
          <cell r="B203" t="str">
            <v>Servicios de cobranza, investigación crediticia y similar</v>
          </cell>
          <cell r="C203" t="str">
            <v>S</v>
          </cell>
        </row>
        <row r="204">
          <cell r="A204">
            <v>343000</v>
          </cell>
          <cell r="B204" t="str">
            <v>Servicios de recaudación, traslado y custodia de valores</v>
          </cell>
          <cell r="C204" t="str">
            <v>N</v>
          </cell>
        </row>
        <row r="205">
          <cell r="A205">
            <v>343001</v>
          </cell>
          <cell r="B205" t="str">
            <v>Servicios de recaudación, traslado y custodia de valores</v>
          </cell>
          <cell r="C205" t="str">
            <v>S</v>
          </cell>
        </row>
        <row r="206">
          <cell r="A206">
            <v>344000</v>
          </cell>
          <cell r="B206" t="str">
            <v>Seguros de responsabilidad patrimonial y fianzas</v>
          </cell>
          <cell r="C206" t="str">
            <v>N</v>
          </cell>
        </row>
        <row r="207">
          <cell r="A207">
            <v>344001</v>
          </cell>
          <cell r="B207" t="str">
            <v>Seguros de responsabilidad patrimonial y fianzas</v>
          </cell>
          <cell r="C207" t="str">
            <v>S</v>
          </cell>
        </row>
        <row r="208">
          <cell r="A208">
            <v>345000</v>
          </cell>
          <cell r="B208" t="str">
            <v>Seguro de bienes patrimoniales</v>
          </cell>
          <cell r="C208" t="str">
            <v>N</v>
          </cell>
        </row>
        <row r="209">
          <cell r="A209">
            <v>345001</v>
          </cell>
          <cell r="B209" t="str">
            <v>Seguros</v>
          </cell>
          <cell r="C209" t="str">
            <v>S</v>
          </cell>
        </row>
        <row r="210">
          <cell r="A210">
            <v>346000</v>
          </cell>
          <cell r="B210" t="str">
            <v>Almacenaje, envase y embalaje</v>
          </cell>
          <cell r="C210" t="str">
            <v>N</v>
          </cell>
        </row>
        <row r="211">
          <cell r="A211">
            <v>346001</v>
          </cell>
          <cell r="B211" t="str">
            <v>Almacenaje, envase y embalaje</v>
          </cell>
          <cell r="C211" t="str">
            <v>S</v>
          </cell>
        </row>
        <row r="212">
          <cell r="A212">
            <v>347000</v>
          </cell>
          <cell r="B212" t="str">
            <v>Fletes y maniobras</v>
          </cell>
          <cell r="C212" t="str">
            <v>N</v>
          </cell>
        </row>
        <row r="213">
          <cell r="A213">
            <v>347001</v>
          </cell>
          <cell r="B213" t="str">
            <v>Fletes, maniobras y almacenaje</v>
          </cell>
          <cell r="C213" t="str">
            <v>S</v>
          </cell>
        </row>
        <row r="214">
          <cell r="A214">
            <v>348000</v>
          </cell>
          <cell r="B214" t="str">
            <v>Comisiones por ventas</v>
          </cell>
          <cell r="C214" t="str">
            <v>N</v>
          </cell>
        </row>
        <row r="215">
          <cell r="A215">
            <v>348001</v>
          </cell>
          <cell r="B215" t="str">
            <v>Comisiones por ventas</v>
          </cell>
          <cell r="C215" t="str">
            <v>S</v>
          </cell>
        </row>
        <row r="216">
          <cell r="A216">
            <v>349000</v>
          </cell>
          <cell r="B216" t="str">
            <v>Servicios financieros, bancarios y comerciales integrales</v>
          </cell>
          <cell r="C216" t="str">
            <v>N</v>
          </cell>
        </row>
        <row r="217">
          <cell r="A217">
            <v>349001</v>
          </cell>
          <cell r="B217" t="str">
            <v>Servicios financieros, bancarios y comerciales integrales</v>
          </cell>
          <cell r="C217" t="str">
            <v>S</v>
          </cell>
        </row>
        <row r="218">
          <cell r="A218">
            <v>350000</v>
          </cell>
          <cell r="B218" t="str">
            <v>SERVICIOS DE INSTALACIÓN, REPARACIÓN, MANTENIMIENTO Y CONSERVACIÓN</v>
          </cell>
          <cell r="C218" t="str">
            <v>N</v>
          </cell>
        </row>
        <row r="219">
          <cell r="A219">
            <v>351000</v>
          </cell>
          <cell r="B219" t="str">
            <v>Conservación y mantenimiento menor de inmuebles</v>
          </cell>
          <cell r="C219" t="str">
            <v>N</v>
          </cell>
        </row>
        <row r="220">
          <cell r="A220">
            <v>351001</v>
          </cell>
          <cell r="B220" t="str">
            <v>Mantenimiento de inmuebles</v>
          </cell>
          <cell r="C220" t="str">
            <v>S</v>
          </cell>
        </row>
        <row r="221">
          <cell r="A221">
            <v>351002</v>
          </cell>
          <cell r="B221" t="str">
            <v>Fumigación de Inmuebles</v>
          </cell>
          <cell r="C221" t="str">
            <v>S</v>
          </cell>
        </row>
        <row r="222">
          <cell r="A222">
            <v>351003</v>
          </cell>
          <cell r="B222" t="str">
            <v>Mantto. y Conserv. de Inmuebles Sub Proc. Zona Norte</v>
          </cell>
          <cell r="C222" t="str">
            <v>S</v>
          </cell>
        </row>
        <row r="223">
          <cell r="A223">
            <v>352000</v>
          </cell>
          <cell r="B223" t="str">
            <v>Instalación, reparación y mantenimiento de mobiliario y equipo de administración, educacional y recreativo</v>
          </cell>
          <cell r="C223" t="str">
            <v>N</v>
          </cell>
        </row>
        <row r="224">
          <cell r="A224">
            <v>352001</v>
          </cell>
          <cell r="B224" t="str">
            <v>Mantenimiento de mobiliario y equipo</v>
          </cell>
          <cell r="C224" t="str">
            <v>S</v>
          </cell>
        </row>
        <row r="225">
          <cell r="A225">
            <v>352002</v>
          </cell>
          <cell r="B225" t="str">
            <v>Gastos de instalación</v>
          </cell>
          <cell r="C225" t="str">
            <v>S</v>
          </cell>
        </row>
        <row r="226">
          <cell r="A226">
            <v>352003</v>
          </cell>
          <cell r="B226" t="str">
            <v>Mantto. y Conservación Archivo General de Notarias del Gob. del Edo.</v>
          </cell>
          <cell r="C226" t="str">
            <v>S</v>
          </cell>
        </row>
        <row r="227">
          <cell r="A227">
            <v>353000</v>
          </cell>
          <cell r="B227" t="str">
            <v>Instalación, reparación y mantenimiento de equipo de cómputo y tecnología de la información</v>
          </cell>
          <cell r="C227" t="str">
            <v>N</v>
          </cell>
        </row>
        <row r="228">
          <cell r="A228">
            <v>353001</v>
          </cell>
          <cell r="B228" t="str">
            <v>Instalación, reparación y mantenimiento de equipo de cómputo y tecnología  de la información</v>
          </cell>
          <cell r="C228" t="str">
            <v>S</v>
          </cell>
        </row>
        <row r="229">
          <cell r="A229">
            <v>354000</v>
          </cell>
          <cell r="B229" t="str">
            <v>Instalación, reparación y mantenimiento de equipo e instrumental médico y de laboratorio</v>
          </cell>
          <cell r="C229" t="str">
            <v>N</v>
          </cell>
        </row>
        <row r="230">
          <cell r="A230">
            <v>354001</v>
          </cell>
          <cell r="B230" t="str">
            <v>Instalación, reparación y mantenimiento de equipo e instrumental médico y de laboratorio</v>
          </cell>
          <cell r="C230" t="str">
            <v>S</v>
          </cell>
        </row>
        <row r="231">
          <cell r="A231">
            <v>355000</v>
          </cell>
          <cell r="B231" t="str">
            <v>Reparación y mantenimiento de equipo de transporte</v>
          </cell>
          <cell r="C231" t="str">
            <v>N</v>
          </cell>
        </row>
        <row r="232">
          <cell r="A232">
            <v>355001</v>
          </cell>
          <cell r="B232" t="str">
            <v>Mantto. y conservación de vehículos terrestres, aéreos, marítimos, lacustres y fluviales</v>
          </cell>
          <cell r="C232" t="str">
            <v>S</v>
          </cell>
        </row>
        <row r="233">
          <cell r="A233">
            <v>356000</v>
          </cell>
          <cell r="B233" t="str">
            <v>Reparación y mantenimiento de equipo de defensa y seguridad</v>
          </cell>
          <cell r="C233" t="str">
            <v>N</v>
          </cell>
        </row>
        <row r="234">
          <cell r="A234">
            <v>356001</v>
          </cell>
          <cell r="B234" t="str">
            <v>Reparación y mantenimiento de equipo de defensa y seguridad</v>
          </cell>
          <cell r="C234" t="str">
            <v>S</v>
          </cell>
        </row>
        <row r="235">
          <cell r="A235">
            <v>357000</v>
          </cell>
          <cell r="B235" t="str">
            <v>Instalación, reparación y mantenimiento de maquinaria, otros equipos y herramienta</v>
          </cell>
          <cell r="C235" t="str">
            <v>N</v>
          </cell>
        </row>
        <row r="236">
          <cell r="A236">
            <v>357001</v>
          </cell>
          <cell r="B236" t="str">
            <v>Instalación, reparación y mantenimiento de Equipo de Telecomunicaciones</v>
          </cell>
          <cell r="C236" t="str">
            <v>S</v>
          </cell>
        </row>
        <row r="237">
          <cell r="A237">
            <v>357002</v>
          </cell>
          <cell r="B237" t="str">
            <v>Instalación, reparación y mantenimiento de maquinaria, otros equipos y herramienta</v>
          </cell>
          <cell r="C237" t="str">
            <v>S</v>
          </cell>
        </row>
        <row r="238">
          <cell r="A238">
            <v>358000</v>
          </cell>
          <cell r="B238" t="str">
            <v>Servicios de limpieza y manejo de desechos</v>
          </cell>
          <cell r="C238" t="str">
            <v>N</v>
          </cell>
        </row>
        <row r="239">
          <cell r="A239">
            <v>358001</v>
          </cell>
          <cell r="B239" t="str">
            <v>Servicios de higiene y limpieza</v>
          </cell>
          <cell r="C239" t="str">
            <v>S</v>
          </cell>
        </row>
        <row r="240">
          <cell r="A240">
            <v>358002</v>
          </cell>
          <cell r="B240" t="str">
            <v>Servicios de Limpieza y Lavado de Vehículos</v>
          </cell>
          <cell r="C240" t="str">
            <v>S</v>
          </cell>
        </row>
        <row r="241">
          <cell r="A241">
            <v>358003</v>
          </cell>
          <cell r="B241" t="str">
            <v>Servicios de Lavandería</v>
          </cell>
          <cell r="C241" t="str">
            <v>S</v>
          </cell>
        </row>
        <row r="242">
          <cell r="A242">
            <v>359000</v>
          </cell>
          <cell r="B242" t="str">
            <v>Servicios de jardinería y fumigación</v>
          </cell>
          <cell r="C242" t="str">
            <v>N</v>
          </cell>
        </row>
        <row r="243">
          <cell r="A243">
            <v>359001</v>
          </cell>
          <cell r="B243" t="str">
            <v>Árboles, plantas, semillas y abonos</v>
          </cell>
          <cell r="C243" t="str">
            <v>S</v>
          </cell>
        </row>
        <row r="244">
          <cell r="A244">
            <v>359002</v>
          </cell>
          <cell r="B244" t="str">
            <v>Fumigación de áreas verdes</v>
          </cell>
          <cell r="C244" t="str">
            <v>S</v>
          </cell>
        </row>
        <row r="245">
          <cell r="A245">
            <v>360000</v>
          </cell>
          <cell r="B245" t="str">
            <v>SERVICIOS DE COMUNICACIÓN SOCIAL Y PUBLICIDAD</v>
          </cell>
          <cell r="C245" t="str">
            <v>N</v>
          </cell>
        </row>
        <row r="246">
          <cell r="A246">
            <v>361000</v>
          </cell>
          <cell r="B246" t="str">
            <v>Difusión por radio, televisión y otros medios de mensajes sobre programas y actividades gubernamentales</v>
          </cell>
          <cell r="C246" t="str">
            <v>N</v>
          </cell>
        </row>
        <row r="247">
          <cell r="A247">
            <v>361001</v>
          </cell>
          <cell r="B247" t="str">
            <v>Gastos de difusión</v>
          </cell>
          <cell r="C247" t="str">
            <v>S</v>
          </cell>
        </row>
        <row r="248">
          <cell r="A248">
            <v>361002</v>
          </cell>
          <cell r="B248" t="str">
            <v>Impresiones y publicaciones oficiales</v>
          </cell>
          <cell r="C248" t="str">
            <v>S</v>
          </cell>
        </row>
        <row r="249">
          <cell r="A249">
            <v>361003</v>
          </cell>
          <cell r="B249" t="str">
            <v>Rotulaciones oficiales</v>
          </cell>
          <cell r="C249" t="str">
            <v>S</v>
          </cell>
        </row>
        <row r="250">
          <cell r="A250">
            <v>361004</v>
          </cell>
          <cell r="B250" t="str">
            <v>Publicación de convocatorias</v>
          </cell>
          <cell r="C250" t="str">
            <v>S</v>
          </cell>
        </row>
        <row r="251">
          <cell r="A251">
            <v>362000</v>
          </cell>
          <cell r="B251" t="str">
            <v>Difusión por radio, televisión y otros medios de mensajes comerciales para promover la venta de bienes o servicios</v>
          </cell>
          <cell r="C251" t="str">
            <v>N</v>
          </cell>
        </row>
        <row r="252">
          <cell r="A252">
            <v>362001</v>
          </cell>
          <cell r="B252" t="str">
            <v>Difusión por radio, televisión y otros medios de mensajes comerciales para promover la venta de bienes o servicios</v>
          </cell>
          <cell r="C252" t="str">
            <v>S</v>
          </cell>
        </row>
        <row r="253">
          <cell r="A253">
            <v>362002</v>
          </cell>
          <cell r="B253" t="str">
            <v>Difusión por radio, televisión y otros medios de mensajes comerciales para promover la venta de bienes o servicios, fuera del país</v>
          </cell>
          <cell r="C253" t="str">
            <v>S</v>
          </cell>
        </row>
        <row r="254">
          <cell r="A254">
            <v>363000</v>
          </cell>
          <cell r="B254" t="str">
            <v>Servicios de creatividad, preproducción y producción de publicidad, excepto Internet</v>
          </cell>
          <cell r="C254" t="str">
            <v>N</v>
          </cell>
        </row>
        <row r="255">
          <cell r="A255">
            <v>363001</v>
          </cell>
          <cell r="B255" t="str">
            <v>Servicios de Producción y Diseño Publicitario</v>
          </cell>
          <cell r="C255" t="str">
            <v>S</v>
          </cell>
        </row>
        <row r="256">
          <cell r="A256">
            <v>364000</v>
          </cell>
          <cell r="B256" t="str">
            <v>Servicios de revelado de fotografías</v>
          </cell>
          <cell r="C256" t="str">
            <v>N</v>
          </cell>
        </row>
        <row r="257">
          <cell r="A257">
            <v>364001</v>
          </cell>
          <cell r="B257" t="str">
            <v>Revelado de Fotografías</v>
          </cell>
          <cell r="C257" t="str">
            <v>S</v>
          </cell>
        </row>
        <row r="258">
          <cell r="A258">
            <v>365000</v>
          </cell>
          <cell r="B258" t="str">
            <v>Servicios de la industria fílmica, del sonido y del video</v>
          </cell>
          <cell r="C258" t="str">
            <v>N</v>
          </cell>
        </row>
        <row r="259">
          <cell r="A259">
            <v>365001</v>
          </cell>
          <cell r="B259" t="str">
            <v>Servicios de la industria fílmica, del sonido y del video</v>
          </cell>
          <cell r="C259" t="str">
            <v>S</v>
          </cell>
        </row>
        <row r="260">
          <cell r="A260">
            <v>366000</v>
          </cell>
          <cell r="B260" t="str">
            <v>Servicio de creación y difusión de contenido exclusivamente a través de Internet</v>
          </cell>
          <cell r="C260" t="str">
            <v>N</v>
          </cell>
        </row>
        <row r="261">
          <cell r="A261">
            <v>366001</v>
          </cell>
          <cell r="B261" t="str">
            <v>Gastos de difusión a través de internet</v>
          </cell>
          <cell r="C261" t="str">
            <v>S</v>
          </cell>
        </row>
        <row r="262">
          <cell r="A262">
            <v>369000</v>
          </cell>
          <cell r="B262" t="str">
            <v>Otros servicios de información</v>
          </cell>
          <cell r="C262" t="str">
            <v>N</v>
          </cell>
        </row>
        <row r="263">
          <cell r="A263">
            <v>369001</v>
          </cell>
          <cell r="B263" t="str">
            <v>Monitoreo de Información y Encuestas</v>
          </cell>
          <cell r="C263" t="str">
            <v>S</v>
          </cell>
        </row>
        <row r="264">
          <cell r="A264">
            <v>370000</v>
          </cell>
          <cell r="B264" t="str">
            <v>SERVICIOS DE TRASLADO Y VIÁTICOS</v>
          </cell>
          <cell r="C264" t="str">
            <v>N</v>
          </cell>
        </row>
        <row r="265">
          <cell r="A265">
            <v>371000</v>
          </cell>
          <cell r="B265" t="str">
            <v>Pasajes aéreos</v>
          </cell>
          <cell r="C265" t="str">
            <v>N</v>
          </cell>
        </row>
        <row r="266">
          <cell r="A266">
            <v>371001</v>
          </cell>
          <cell r="B266" t="str">
            <v>Pasajes aéreos</v>
          </cell>
          <cell r="C266" t="str">
            <v>S</v>
          </cell>
        </row>
        <row r="267">
          <cell r="A267">
            <v>372000</v>
          </cell>
          <cell r="B267" t="str">
            <v>Pasajes terrestres</v>
          </cell>
          <cell r="C267" t="str">
            <v>N</v>
          </cell>
        </row>
        <row r="268">
          <cell r="A268">
            <v>372001</v>
          </cell>
          <cell r="B268" t="str">
            <v>Pasajes terrestres</v>
          </cell>
          <cell r="C268" t="str">
            <v>S</v>
          </cell>
        </row>
        <row r="269">
          <cell r="A269">
            <v>373000</v>
          </cell>
          <cell r="B269" t="str">
            <v>Pasajes marítimos, lacustres y fluviales</v>
          </cell>
          <cell r="C269" t="str">
            <v>N</v>
          </cell>
        </row>
        <row r="270">
          <cell r="A270">
            <v>373001</v>
          </cell>
          <cell r="B270" t="str">
            <v>Pasajes marítimos</v>
          </cell>
          <cell r="C270" t="str">
            <v>S</v>
          </cell>
        </row>
        <row r="271">
          <cell r="A271">
            <v>374000</v>
          </cell>
          <cell r="B271" t="str">
            <v>Autotransporte</v>
          </cell>
          <cell r="C271" t="str">
            <v>N</v>
          </cell>
        </row>
        <row r="272">
          <cell r="A272">
            <v>374001</v>
          </cell>
          <cell r="B272" t="str">
            <v>Autotransporte</v>
          </cell>
          <cell r="C272" t="str">
            <v>S</v>
          </cell>
        </row>
        <row r="273">
          <cell r="A273">
            <v>375000</v>
          </cell>
          <cell r="B273" t="str">
            <v>Viáticos en el país</v>
          </cell>
          <cell r="C273" t="str">
            <v>N</v>
          </cell>
        </row>
        <row r="274">
          <cell r="A274">
            <v>375001</v>
          </cell>
          <cell r="B274" t="str">
            <v>Viáticos</v>
          </cell>
          <cell r="C274" t="str">
            <v>S</v>
          </cell>
        </row>
        <row r="275">
          <cell r="A275">
            <v>376000</v>
          </cell>
          <cell r="B275" t="str">
            <v>Viáticos en el extranjero</v>
          </cell>
          <cell r="C275" t="str">
            <v>N</v>
          </cell>
        </row>
        <row r="276">
          <cell r="A276">
            <v>376001</v>
          </cell>
          <cell r="B276" t="str">
            <v>Viáticos en el extranjero</v>
          </cell>
          <cell r="C276" t="str">
            <v>S</v>
          </cell>
        </row>
        <row r="277">
          <cell r="A277">
            <v>377000</v>
          </cell>
          <cell r="B277" t="str">
            <v>Gastos de instalación y traslado de menaje</v>
          </cell>
          <cell r="C277" t="str">
            <v>N</v>
          </cell>
        </row>
        <row r="278">
          <cell r="A278">
            <v>377001</v>
          </cell>
          <cell r="B278" t="str">
            <v>Gastos de instalación y traslado de menaje</v>
          </cell>
          <cell r="C278" t="str">
            <v>S</v>
          </cell>
        </row>
        <row r="279">
          <cell r="A279">
            <v>378000</v>
          </cell>
          <cell r="B279" t="str">
            <v>Servicios integrales de traslado y viáticos</v>
          </cell>
          <cell r="C279" t="str">
            <v>N</v>
          </cell>
        </row>
        <row r="280">
          <cell r="A280">
            <v>378001</v>
          </cell>
          <cell r="B280" t="str">
            <v>Diligencias judiciales</v>
          </cell>
          <cell r="C280" t="str">
            <v>S</v>
          </cell>
        </row>
        <row r="281">
          <cell r="A281">
            <v>379000</v>
          </cell>
          <cell r="B281" t="str">
            <v>Otros servicios de traslado y hospedaje</v>
          </cell>
          <cell r="C281" t="str">
            <v>N</v>
          </cell>
        </row>
        <row r="282">
          <cell r="A282">
            <v>379001</v>
          </cell>
          <cell r="B282" t="str">
            <v>Traslado de vehículos</v>
          </cell>
          <cell r="C282" t="str">
            <v>S</v>
          </cell>
        </row>
        <row r="283">
          <cell r="A283">
            <v>379002</v>
          </cell>
          <cell r="B283" t="str">
            <v>Gastos de traslado de personas</v>
          </cell>
          <cell r="C283" t="str">
            <v>S</v>
          </cell>
        </row>
        <row r="284">
          <cell r="A284">
            <v>379003</v>
          </cell>
          <cell r="B284" t="str">
            <v>Hospedaje de personas</v>
          </cell>
          <cell r="C284" t="str">
            <v>S</v>
          </cell>
        </row>
        <row r="285">
          <cell r="A285">
            <v>380000</v>
          </cell>
          <cell r="B285" t="str">
            <v>SERVICIOS OFICIALES</v>
          </cell>
          <cell r="C285" t="str">
            <v>N</v>
          </cell>
        </row>
        <row r="286">
          <cell r="A286">
            <v>381000</v>
          </cell>
          <cell r="B286" t="str">
            <v>Gastos de ceremonial</v>
          </cell>
          <cell r="C286" t="str">
            <v>N</v>
          </cell>
        </row>
        <row r="287">
          <cell r="A287">
            <v>381001</v>
          </cell>
          <cell r="B287" t="str">
            <v>Atención a personalidades nacionales y extranjeras</v>
          </cell>
          <cell r="C287" t="str">
            <v>S</v>
          </cell>
        </row>
        <row r="288">
          <cell r="A288">
            <v>382000</v>
          </cell>
          <cell r="B288" t="str">
            <v>Gastos de orden social y cultural</v>
          </cell>
          <cell r="C288" t="str">
            <v>N</v>
          </cell>
        </row>
        <row r="289">
          <cell r="A289">
            <v>382001</v>
          </cell>
          <cell r="B289" t="str">
            <v>Espectáculos y actividades culturales</v>
          </cell>
          <cell r="C289" t="str">
            <v>S</v>
          </cell>
        </row>
        <row r="290">
          <cell r="A290">
            <v>382002</v>
          </cell>
          <cell r="B290" t="str">
            <v>Gastos de recepción, conmemorativos y de orden social</v>
          </cell>
          <cell r="C290" t="str">
            <v>S</v>
          </cell>
        </row>
        <row r="291">
          <cell r="A291">
            <v>382003</v>
          </cell>
          <cell r="B291" t="str">
            <v>Adaptaciones para eventos sociales y culturales</v>
          </cell>
          <cell r="C291" t="str">
            <v>S</v>
          </cell>
        </row>
        <row r="292">
          <cell r="A292">
            <v>382004</v>
          </cell>
          <cell r="B292" t="str">
            <v>Festividades y Eventos</v>
          </cell>
          <cell r="C292" t="str">
            <v>S</v>
          </cell>
        </row>
        <row r="293">
          <cell r="A293">
            <v>383000</v>
          </cell>
          <cell r="B293" t="str">
            <v>Congresos y convenciones</v>
          </cell>
          <cell r="C293" t="str">
            <v>N</v>
          </cell>
        </row>
        <row r="294">
          <cell r="A294">
            <v>383001</v>
          </cell>
          <cell r="B294" t="str">
            <v>Congresos y convenciones</v>
          </cell>
          <cell r="C294" t="str">
            <v>S</v>
          </cell>
        </row>
        <row r="295">
          <cell r="A295">
            <v>384000</v>
          </cell>
          <cell r="B295" t="str">
            <v>Exposiciones</v>
          </cell>
          <cell r="C295" t="str">
            <v>N</v>
          </cell>
        </row>
        <row r="296">
          <cell r="A296">
            <v>384001</v>
          </cell>
          <cell r="B296" t="str">
            <v>Exposiciones</v>
          </cell>
          <cell r="C296" t="str">
            <v>S</v>
          </cell>
        </row>
        <row r="297">
          <cell r="A297">
            <v>385000</v>
          </cell>
          <cell r="B297" t="str">
            <v>Gastos de representación</v>
          </cell>
          <cell r="C297" t="str">
            <v>N</v>
          </cell>
        </row>
        <row r="298">
          <cell r="A298">
            <v>385001</v>
          </cell>
          <cell r="B298" t="str">
            <v>Gastos de representación</v>
          </cell>
          <cell r="C298" t="str">
            <v>S</v>
          </cell>
        </row>
        <row r="299">
          <cell r="A299">
            <v>390000</v>
          </cell>
          <cell r="B299" t="str">
            <v>OTROS SERVICIOS GENERALES</v>
          </cell>
          <cell r="C299" t="str">
            <v>N</v>
          </cell>
        </row>
        <row r="300">
          <cell r="A300">
            <v>391000</v>
          </cell>
          <cell r="B300" t="str">
            <v>Servicios funerarios y de cementerios</v>
          </cell>
          <cell r="C300" t="str">
            <v>N</v>
          </cell>
        </row>
        <row r="301">
          <cell r="A301">
            <v>391001</v>
          </cell>
          <cell r="B301" t="str">
            <v>Servicios funerarios y de cementerios</v>
          </cell>
          <cell r="C301" t="str">
            <v>S</v>
          </cell>
        </row>
        <row r="302">
          <cell r="A302">
            <v>392000</v>
          </cell>
          <cell r="B302" t="str">
            <v>Impuestos y derechos</v>
          </cell>
          <cell r="C302" t="str">
            <v>N</v>
          </cell>
        </row>
        <row r="303">
          <cell r="A303">
            <v>392001</v>
          </cell>
          <cell r="B303" t="str">
            <v>Impuestos y derechos</v>
          </cell>
          <cell r="C303" t="str">
            <v>S</v>
          </cell>
        </row>
        <row r="304">
          <cell r="A304">
            <v>393000</v>
          </cell>
          <cell r="B304" t="str">
            <v>Impuestos y derechos de importación</v>
          </cell>
          <cell r="C304" t="str">
            <v>N</v>
          </cell>
        </row>
        <row r="305">
          <cell r="A305">
            <v>393001</v>
          </cell>
          <cell r="B305" t="str">
            <v>Impuestos y derechos de importación</v>
          </cell>
          <cell r="C305" t="str">
            <v>S</v>
          </cell>
        </row>
        <row r="306">
          <cell r="A306">
            <v>394000</v>
          </cell>
          <cell r="B306" t="str">
            <v>Sentencias y resoluciones judiciales</v>
          </cell>
          <cell r="C306" t="str">
            <v>N</v>
          </cell>
        </row>
        <row r="307">
          <cell r="A307">
            <v>394001</v>
          </cell>
          <cell r="B307" t="str">
            <v>Sentencias y resoluciones judiciales</v>
          </cell>
          <cell r="C307" t="str">
            <v>S</v>
          </cell>
        </row>
        <row r="308">
          <cell r="A308">
            <v>395000</v>
          </cell>
          <cell r="B308" t="str">
            <v>Penas, multas, accesorios y actualizaciones</v>
          </cell>
          <cell r="C308" t="str">
            <v>N</v>
          </cell>
        </row>
        <row r="309">
          <cell r="A309">
            <v>395001</v>
          </cell>
          <cell r="B309" t="str">
            <v>Penas, multas, accesorios y actualizaciones</v>
          </cell>
          <cell r="C309" t="str">
            <v>S</v>
          </cell>
        </row>
        <row r="310">
          <cell r="A310">
            <v>396000</v>
          </cell>
          <cell r="B310" t="str">
            <v>Otros gastos por responsabilidades</v>
          </cell>
          <cell r="C310" t="str">
            <v>N</v>
          </cell>
        </row>
        <row r="311">
          <cell r="A311">
            <v>396001</v>
          </cell>
          <cell r="B311" t="str">
            <v>Otros gastos por responsabilidades</v>
          </cell>
          <cell r="C311" t="str">
            <v>S</v>
          </cell>
        </row>
        <row r="312">
          <cell r="A312">
            <v>399000</v>
          </cell>
          <cell r="B312" t="str">
            <v>Otros servicios generales</v>
          </cell>
          <cell r="C312" t="str">
            <v>N</v>
          </cell>
        </row>
        <row r="313">
          <cell r="A313">
            <v>399001</v>
          </cell>
          <cell r="B313" t="str">
            <v>Gastos menores</v>
          </cell>
          <cell r="C313" t="str">
            <v>S</v>
          </cell>
        </row>
        <row r="314">
          <cell r="A314">
            <v>399002</v>
          </cell>
          <cell r="B314" t="str">
            <v>Retribuciones a reos</v>
          </cell>
          <cell r="C314" t="str">
            <v>S</v>
          </cell>
        </row>
        <row r="315">
          <cell r="A315">
            <v>399003</v>
          </cell>
          <cell r="B315" t="str">
            <v>Otros servicios de la administración pública</v>
          </cell>
          <cell r="C315" t="str">
            <v>S</v>
          </cell>
        </row>
        <row r="316">
          <cell r="A316">
            <v>399004</v>
          </cell>
          <cell r="B316" t="str">
            <v>Previsión Arrendamientos</v>
          </cell>
          <cell r="C316" t="str">
            <v>Prev</v>
          </cell>
        </row>
        <row r="317">
          <cell r="A317">
            <v>500000</v>
          </cell>
          <cell r="B317" t="str">
            <v>BIENES MUEBLES, INMUEBLES E INTANGIBLES</v>
          </cell>
          <cell r="C317" t="str">
            <v>N</v>
          </cell>
        </row>
        <row r="318">
          <cell r="A318">
            <v>510000</v>
          </cell>
          <cell r="B318" t="str">
            <v>MOBILIARIO Y EQUIPO DE ADMINISTRACIÓN</v>
          </cell>
          <cell r="C318" t="str">
            <v>N</v>
          </cell>
        </row>
        <row r="319">
          <cell r="A319">
            <v>511000</v>
          </cell>
          <cell r="B319" t="str">
            <v>Muebles de oficina y estantería</v>
          </cell>
          <cell r="C319" t="str">
            <v>N</v>
          </cell>
        </row>
        <row r="320">
          <cell r="A320">
            <v>511001</v>
          </cell>
          <cell r="B320" t="str">
            <v>Mobiliario</v>
          </cell>
          <cell r="C320" t="str">
            <v>S</v>
          </cell>
        </row>
        <row r="321">
          <cell r="A321">
            <v>512000</v>
          </cell>
          <cell r="B321" t="str">
            <v>Muebles, excepto de oficina y estantería</v>
          </cell>
          <cell r="C321" t="str">
            <v>N</v>
          </cell>
        </row>
        <row r="322">
          <cell r="A322">
            <v>512001</v>
          </cell>
          <cell r="B322" t="str">
            <v>Muebles, excepto de oficina y estantería</v>
          </cell>
          <cell r="C322" t="str">
            <v>S</v>
          </cell>
        </row>
        <row r="323">
          <cell r="A323">
            <v>513000</v>
          </cell>
          <cell r="B323" t="str">
            <v>Bienes artísticos, culturales y científicos</v>
          </cell>
          <cell r="C323" t="str">
            <v>N</v>
          </cell>
        </row>
        <row r="324">
          <cell r="A324">
            <v>513001</v>
          </cell>
          <cell r="B324" t="str">
            <v>Bienes artísticos y culturales</v>
          </cell>
          <cell r="C324" t="str">
            <v>S</v>
          </cell>
        </row>
        <row r="325">
          <cell r="A325">
            <v>514000</v>
          </cell>
          <cell r="B325" t="str">
            <v>Objetos de valor</v>
          </cell>
          <cell r="C325" t="str">
            <v>N</v>
          </cell>
        </row>
        <row r="326">
          <cell r="A326">
            <v>514001</v>
          </cell>
          <cell r="B326" t="str">
            <v>Objetos de valor</v>
          </cell>
          <cell r="C326" t="str">
            <v>S</v>
          </cell>
        </row>
        <row r="327">
          <cell r="A327">
            <v>515000</v>
          </cell>
          <cell r="B327" t="str">
            <v>Equipo de cómputo y de tecnologías de la información</v>
          </cell>
          <cell r="C327" t="str">
            <v>N</v>
          </cell>
        </row>
        <row r="328">
          <cell r="A328">
            <v>515001</v>
          </cell>
          <cell r="B328" t="str">
            <v>Equipo de administración</v>
          </cell>
          <cell r="C328" t="str">
            <v>S</v>
          </cell>
        </row>
        <row r="329">
          <cell r="A329">
            <v>515002</v>
          </cell>
          <cell r="B329" t="str">
            <v>Equipo de Cómputo y Aparatos de Uso Informático</v>
          </cell>
          <cell r="C329" t="str">
            <v>S</v>
          </cell>
        </row>
        <row r="330">
          <cell r="A330">
            <v>515003</v>
          </cell>
          <cell r="B330" t="str">
            <v>Sistemas de Rastreo Satelital (GPS)</v>
          </cell>
          <cell r="C330" t="str">
            <v>S</v>
          </cell>
        </row>
        <row r="331">
          <cell r="A331">
            <v>519000</v>
          </cell>
          <cell r="B331" t="str">
            <v>Otros mobiliarios y equipos de administración</v>
          </cell>
          <cell r="C331" t="str">
            <v>N</v>
          </cell>
        </row>
        <row r="332">
          <cell r="A332">
            <v>519001</v>
          </cell>
          <cell r="B332" t="str">
            <v>Cámaras y Circuitos Cerrados de Seguridad</v>
          </cell>
          <cell r="C332" t="str">
            <v>S</v>
          </cell>
        </row>
        <row r="333">
          <cell r="A333">
            <v>519002</v>
          </cell>
          <cell r="B333" t="str">
            <v>Equipos de Audio</v>
          </cell>
          <cell r="C333" t="str">
            <v>S</v>
          </cell>
        </row>
        <row r="334">
          <cell r="A334">
            <v>519003</v>
          </cell>
          <cell r="B334" t="str">
            <v>Otras Herramientas, Mobiliarios y Eq. De Administración</v>
          </cell>
          <cell r="C334" t="str">
            <v>S</v>
          </cell>
        </row>
        <row r="335">
          <cell r="A335">
            <v>519004</v>
          </cell>
          <cell r="B335" t="str">
            <v>Aulas Móviles de Vigilancia</v>
          </cell>
          <cell r="C335" t="str">
            <v>S</v>
          </cell>
        </row>
        <row r="336">
          <cell r="A336">
            <v>520000</v>
          </cell>
          <cell r="B336" t="str">
            <v>MOBILIARIO Y EQUIPO EDUCACIONAL Y RECREATIVO</v>
          </cell>
          <cell r="C336" t="str">
            <v>N</v>
          </cell>
        </row>
        <row r="337">
          <cell r="A337">
            <v>521000</v>
          </cell>
          <cell r="B337" t="str">
            <v>Equipos y aparatos audiovisuales</v>
          </cell>
          <cell r="C337" t="str">
            <v>N</v>
          </cell>
        </row>
        <row r="338">
          <cell r="A338">
            <v>521001</v>
          </cell>
          <cell r="B338" t="str">
            <v>Equipo educacional y recreativo</v>
          </cell>
          <cell r="C338" t="str">
            <v>S</v>
          </cell>
        </row>
        <row r="339">
          <cell r="A339">
            <v>522000</v>
          </cell>
          <cell r="B339" t="str">
            <v>Aparatos deportivos</v>
          </cell>
          <cell r="C339" t="str">
            <v>N</v>
          </cell>
        </row>
        <row r="340">
          <cell r="A340">
            <v>522001</v>
          </cell>
          <cell r="B340" t="str">
            <v>Aparatos deportivos</v>
          </cell>
          <cell r="C340" t="str">
            <v>S</v>
          </cell>
        </row>
        <row r="341">
          <cell r="A341">
            <v>523000</v>
          </cell>
          <cell r="B341" t="str">
            <v>Cámaras fotográficas y de video</v>
          </cell>
          <cell r="C341" t="str">
            <v>N</v>
          </cell>
        </row>
        <row r="342">
          <cell r="A342">
            <v>523001</v>
          </cell>
          <cell r="B342" t="str">
            <v>Cámaras Fotográficas</v>
          </cell>
          <cell r="C342" t="str">
            <v>S</v>
          </cell>
        </row>
        <row r="343">
          <cell r="A343">
            <v>523002</v>
          </cell>
          <cell r="B343" t="str">
            <v>Cámaras de Video</v>
          </cell>
          <cell r="C343" t="str">
            <v>S</v>
          </cell>
        </row>
        <row r="344">
          <cell r="A344">
            <v>529000</v>
          </cell>
          <cell r="B344" t="str">
            <v>Otro mobiliario y equipo educacional y recreativo</v>
          </cell>
          <cell r="C344" t="str">
            <v>N</v>
          </cell>
        </row>
        <row r="345">
          <cell r="A345">
            <v>529001</v>
          </cell>
          <cell r="B345" t="str">
            <v>Instrumentos Musicales</v>
          </cell>
          <cell r="C345" t="str">
            <v>S</v>
          </cell>
        </row>
        <row r="346">
          <cell r="A346">
            <v>529002</v>
          </cell>
          <cell r="B346" t="str">
            <v>Equipo Educacional</v>
          </cell>
          <cell r="C346" t="str">
            <v>S</v>
          </cell>
        </row>
        <row r="347">
          <cell r="A347">
            <v>530000</v>
          </cell>
          <cell r="B347" t="str">
            <v>EQUIPO E INSTRUMENTAL MÉDICO Y DE LABORATORIO</v>
          </cell>
          <cell r="C347" t="str">
            <v>N</v>
          </cell>
        </row>
        <row r="348">
          <cell r="A348">
            <v>531000</v>
          </cell>
          <cell r="B348" t="str">
            <v>Equipo médico y de laboratorio</v>
          </cell>
          <cell r="C348" t="str">
            <v>N</v>
          </cell>
        </row>
        <row r="349">
          <cell r="A349">
            <v>531001</v>
          </cell>
          <cell r="B349" t="str">
            <v>Equipo e instrumental medico</v>
          </cell>
          <cell r="C349" t="str">
            <v>S</v>
          </cell>
        </row>
        <row r="350">
          <cell r="A350">
            <v>532000</v>
          </cell>
          <cell r="B350" t="str">
            <v>Instrumental médico y de laboratorio</v>
          </cell>
          <cell r="C350" t="str">
            <v>N</v>
          </cell>
        </row>
        <row r="351">
          <cell r="A351">
            <v>532001</v>
          </cell>
          <cell r="B351" t="str">
            <v>Instrumental médico y de laboratorio</v>
          </cell>
          <cell r="C351" t="str">
            <v>S</v>
          </cell>
        </row>
        <row r="352">
          <cell r="A352">
            <v>540000</v>
          </cell>
          <cell r="B352" t="str">
            <v>VEHÍCULOS Y EQUIPO DE TRANSPORTE</v>
          </cell>
          <cell r="C352" t="str">
            <v>N</v>
          </cell>
        </row>
        <row r="353">
          <cell r="A353">
            <v>541000</v>
          </cell>
          <cell r="B353" t="str">
            <v>Automóviles y camiones</v>
          </cell>
          <cell r="C353" t="str">
            <v>N</v>
          </cell>
        </row>
        <row r="354">
          <cell r="A354">
            <v>541001</v>
          </cell>
          <cell r="B354" t="str">
            <v>Vehículos y equipo terrestre</v>
          </cell>
          <cell r="C354" t="str">
            <v>S</v>
          </cell>
        </row>
        <row r="355">
          <cell r="A355">
            <v>542000</v>
          </cell>
          <cell r="B355" t="str">
            <v>Carrocerías y remolques</v>
          </cell>
          <cell r="C355" t="str">
            <v>N</v>
          </cell>
        </row>
        <row r="356">
          <cell r="A356">
            <v>542001</v>
          </cell>
          <cell r="B356" t="str">
            <v>Carrocerías y remolques</v>
          </cell>
          <cell r="C356" t="str">
            <v>S</v>
          </cell>
        </row>
        <row r="357">
          <cell r="A357">
            <v>543000</v>
          </cell>
          <cell r="B357" t="str">
            <v>Equipo aeroespacial</v>
          </cell>
          <cell r="C357" t="str">
            <v>N</v>
          </cell>
        </row>
        <row r="358">
          <cell r="A358">
            <v>543001</v>
          </cell>
          <cell r="B358" t="str">
            <v>Vehículos y equipo de transporte aéreo</v>
          </cell>
          <cell r="C358" t="str">
            <v>S</v>
          </cell>
        </row>
        <row r="359">
          <cell r="A359">
            <v>544000</v>
          </cell>
          <cell r="B359" t="str">
            <v>Equipo ferroviario</v>
          </cell>
          <cell r="C359" t="str">
            <v>N</v>
          </cell>
        </row>
        <row r="360">
          <cell r="A360">
            <v>544001</v>
          </cell>
          <cell r="B360" t="str">
            <v>Equipo ferroviario</v>
          </cell>
          <cell r="C360" t="str">
            <v>S</v>
          </cell>
        </row>
        <row r="361">
          <cell r="A361">
            <v>545000</v>
          </cell>
          <cell r="B361" t="str">
            <v>Embarcaciones</v>
          </cell>
          <cell r="C361" t="str">
            <v>N</v>
          </cell>
        </row>
        <row r="362">
          <cell r="A362">
            <v>545001</v>
          </cell>
          <cell r="B362" t="str">
            <v>Vehículos y equipo marino</v>
          </cell>
          <cell r="C362" t="str">
            <v>S</v>
          </cell>
        </row>
        <row r="363">
          <cell r="A363">
            <v>549000</v>
          </cell>
          <cell r="B363" t="str">
            <v>Otros Equipos de Transporte</v>
          </cell>
          <cell r="C363" t="str">
            <v>N</v>
          </cell>
        </row>
        <row r="364">
          <cell r="A364">
            <v>549001</v>
          </cell>
          <cell r="B364" t="str">
            <v>Otros equipos de transporte</v>
          </cell>
          <cell r="C364" t="str">
            <v>S</v>
          </cell>
        </row>
        <row r="365">
          <cell r="A365">
            <v>550000</v>
          </cell>
          <cell r="B365" t="str">
            <v>EQUIPO DE DEFENSA Y SEGURIDAD</v>
          </cell>
          <cell r="C365" t="str">
            <v>N</v>
          </cell>
        </row>
        <row r="366">
          <cell r="A366">
            <v>551000</v>
          </cell>
          <cell r="B366" t="str">
            <v>Equipo de defensa y seguridad</v>
          </cell>
          <cell r="C366" t="str">
            <v>N</v>
          </cell>
        </row>
        <row r="367">
          <cell r="A367">
            <v>551001</v>
          </cell>
          <cell r="B367" t="str">
            <v>Equipo de defensa y seguridad pública</v>
          </cell>
          <cell r="C367" t="str">
            <v>S</v>
          </cell>
        </row>
        <row r="368">
          <cell r="A368">
            <v>560000</v>
          </cell>
          <cell r="B368" t="str">
            <v>MAQUINARIA, OTROS EQUIPOS Y HERRAMIENTAS</v>
          </cell>
          <cell r="C368" t="str">
            <v>N</v>
          </cell>
        </row>
        <row r="369">
          <cell r="A369">
            <v>561000</v>
          </cell>
          <cell r="B369" t="str">
            <v>Maquinaria y equipo agropecuario</v>
          </cell>
          <cell r="C369" t="str">
            <v>N</v>
          </cell>
        </row>
        <row r="370">
          <cell r="A370">
            <v>561001</v>
          </cell>
          <cell r="B370" t="str">
            <v>Maquinaria y equipo agropecuario, industrial y de construcción</v>
          </cell>
          <cell r="C370" t="str">
            <v>S</v>
          </cell>
        </row>
        <row r="371">
          <cell r="A371">
            <v>562000</v>
          </cell>
          <cell r="B371" t="str">
            <v>Maquinaria y equipo industrial</v>
          </cell>
          <cell r="C371" t="str">
            <v>N</v>
          </cell>
        </row>
        <row r="372">
          <cell r="A372">
            <v>562001</v>
          </cell>
          <cell r="B372" t="str">
            <v>Bombas Industriales</v>
          </cell>
          <cell r="C372" t="str">
            <v>S</v>
          </cell>
        </row>
        <row r="373">
          <cell r="A373">
            <v>563000</v>
          </cell>
          <cell r="B373" t="str">
            <v>Maquinaria y equipo de construcción</v>
          </cell>
          <cell r="C373" t="str">
            <v>N</v>
          </cell>
        </row>
        <row r="374">
          <cell r="A374">
            <v>563001</v>
          </cell>
          <cell r="B374" t="str">
            <v>Maquinaria y equipo de construcción</v>
          </cell>
          <cell r="C374" t="str">
            <v>S</v>
          </cell>
        </row>
        <row r="375">
          <cell r="A375">
            <v>564000</v>
          </cell>
          <cell r="B375" t="str">
            <v>Sistemas de aire acondicionado, calefacción y de refrigeración industrial y comercial</v>
          </cell>
          <cell r="C375" t="str">
            <v>N</v>
          </cell>
        </row>
        <row r="376">
          <cell r="A376">
            <v>564001</v>
          </cell>
          <cell r="B376" t="str">
            <v>Sistemas de aire acondicionado, calefacción y de refrigeración industrial y comercial</v>
          </cell>
          <cell r="C376" t="str">
            <v>S</v>
          </cell>
        </row>
        <row r="377">
          <cell r="A377">
            <v>565000</v>
          </cell>
          <cell r="B377" t="str">
            <v>Equipo de comunicación y telecomunicación</v>
          </cell>
          <cell r="C377" t="str">
            <v>N</v>
          </cell>
        </row>
        <row r="378">
          <cell r="A378">
            <v>565001</v>
          </cell>
          <cell r="B378" t="str">
            <v>Maq. y equipo de telecomunicaciones, eléctrica y electrónica</v>
          </cell>
          <cell r="C378" t="str">
            <v>S</v>
          </cell>
        </row>
        <row r="379">
          <cell r="A379">
            <v>566000</v>
          </cell>
          <cell r="B379" t="str">
            <v>Equipos de generación eléctrica, aparatos y accesorios eléctricos</v>
          </cell>
          <cell r="C379" t="str">
            <v>N</v>
          </cell>
        </row>
        <row r="380">
          <cell r="A380">
            <v>566001</v>
          </cell>
          <cell r="B380" t="str">
            <v>Equipos de generación eléctrica</v>
          </cell>
          <cell r="C380" t="str">
            <v>S</v>
          </cell>
        </row>
        <row r="381">
          <cell r="A381">
            <v>566002</v>
          </cell>
          <cell r="B381" t="str">
            <v>Aparatos y Accesorios eléctricos</v>
          </cell>
          <cell r="C381" t="str">
            <v>S</v>
          </cell>
        </row>
        <row r="382">
          <cell r="A382">
            <v>567000</v>
          </cell>
          <cell r="B382" t="str">
            <v>Herramientas y máquinas-herramienta</v>
          </cell>
          <cell r="C382" t="str">
            <v>N</v>
          </cell>
        </row>
        <row r="383">
          <cell r="A383">
            <v>567001</v>
          </cell>
          <cell r="B383" t="str">
            <v>Herramientas y refacciones mayores</v>
          </cell>
          <cell r="C383" t="str">
            <v>S</v>
          </cell>
        </row>
        <row r="384">
          <cell r="A384">
            <v>569000</v>
          </cell>
          <cell r="B384" t="str">
            <v>Otros equipos</v>
          </cell>
          <cell r="C384" t="str">
            <v>N</v>
          </cell>
        </row>
        <row r="385">
          <cell r="A385">
            <v>569001</v>
          </cell>
          <cell r="B385" t="str">
            <v>Maquinaria y equipo diverso</v>
          </cell>
          <cell r="C385" t="str">
            <v>S</v>
          </cell>
        </row>
        <row r="386">
          <cell r="A386">
            <v>570000</v>
          </cell>
          <cell r="B386" t="str">
            <v>ACTIVOS BIOLÓGICOS</v>
          </cell>
          <cell r="C386" t="str">
            <v>N</v>
          </cell>
        </row>
        <row r="387">
          <cell r="A387">
            <v>571000</v>
          </cell>
          <cell r="B387" t="str">
            <v>Bovinos</v>
          </cell>
          <cell r="C387" t="str">
            <v>N</v>
          </cell>
        </row>
        <row r="388">
          <cell r="A388">
            <v>571001</v>
          </cell>
          <cell r="B388" t="str">
            <v>Bovinos</v>
          </cell>
          <cell r="C388" t="str">
            <v>S</v>
          </cell>
        </row>
        <row r="389">
          <cell r="A389">
            <v>572000</v>
          </cell>
          <cell r="B389" t="str">
            <v>Porcinos</v>
          </cell>
          <cell r="C389" t="str">
            <v>N</v>
          </cell>
        </row>
        <row r="390">
          <cell r="A390">
            <v>572001</v>
          </cell>
          <cell r="B390" t="str">
            <v>Porcinos</v>
          </cell>
          <cell r="C390" t="str">
            <v>S</v>
          </cell>
        </row>
        <row r="391">
          <cell r="A391">
            <v>573000</v>
          </cell>
          <cell r="B391" t="str">
            <v>Aves</v>
          </cell>
          <cell r="C391" t="str">
            <v>N</v>
          </cell>
        </row>
        <row r="392">
          <cell r="A392">
            <v>573001</v>
          </cell>
          <cell r="B392" t="str">
            <v>Aves</v>
          </cell>
          <cell r="C392" t="str">
            <v>S</v>
          </cell>
        </row>
        <row r="393">
          <cell r="A393">
            <v>574000</v>
          </cell>
          <cell r="B393" t="str">
            <v>Ovinos y caprinos</v>
          </cell>
          <cell r="C393" t="str">
            <v>N</v>
          </cell>
        </row>
        <row r="394">
          <cell r="A394">
            <v>574001</v>
          </cell>
          <cell r="B394" t="str">
            <v>Ovinos y caprinos</v>
          </cell>
          <cell r="C394" t="str">
            <v>S</v>
          </cell>
        </row>
        <row r="395">
          <cell r="A395">
            <v>575000</v>
          </cell>
          <cell r="B395" t="str">
            <v>Peces y acuicultura</v>
          </cell>
          <cell r="C395" t="str">
            <v>N</v>
          </cell>
        </row>
        <row r="396">
          <cell r="A396">
            <v>575001</v>
          </cell>
          <cell r="B396" t="str">
            <v>Peces y acuicultura</v>
          </cell>
          <cell r="C396" t="str">
            <v>S</v>
          </cell>
        </row>
        <row r="397">
          <cell r="A397">
            <v>576000</v>
          </cell>
          <cell r="B397" t="str">
            <v>Equinos</v>
          </cell>
          <cell r="C397" t="str">
            <v>N</v>
          </cell>
        </row>
        <row r="398">
          <cell r="A398">
            <v>576001</v>
          </cell>
          <cell r="B398" t="str">
            <v>Equinos</v>
          </cell>
          <cell r="C398" t="str">
            <v>S</v>
          </cell>
        </row>
        <row r="399">
          <cell r="A399">
            <v>577000</v>
          </cell>
          <cell r="B399" t="str">
            <v>Especies menores y de zoológico</v>
          </cell>
          <cell r="C399" t="str">
            <v>N</v>
          </cell>
        </row>
        <row r="400">
          <cell r="A400">
            <v>577001</v>
          </cell>
          <cell r="B400" t="str">
            <v>Especies menores y de zoológico</v>
          </cell>
          <cell r="C400" t="str">
            <v>S</v>
          </cell>
        </row>
        <row r="401">
          <cell r="A401">
            <v>578000</v>
          </cell>
          <cell r="B401" t="str">
            <v>Árboles y plantas</v>
          </cell>
          <cell r="C401" t="str">
            <v>N</v>
          </cell>
        </row>
        <row r="402">
          <cell r="A402">
            <v>578001</v>
          </cell>
          <cell r="B402" t="str">
            <v>Árboles y plantas</v>
          </cell>
          <cell r="C402" t="str">
            <v>S</v>
          </cell>
        </row>
        <row r="403">
          <cell r="A403">
            <v>579000</v>
          </cell>
          <cell r="B403" t="str">
            <v>Otros activos biológicos</v>
          </cell>
          <cell r="C403" t="str">
            <v>N</v>
          </cell>
        </row>
        <row r="404">
          <cell r="A404">
            <v>579001</v>
          </cell>
          <cell r="B404" t="str">
            <v>Otros activos biológicos</v>
          </cell>
          <cell r="C404" t="str">
            <v>S</v>
          </cell>
        </row>
        <row r="405">
          <cell r="A405">
            <v>580000</v>
          </cell>
          <cell r="B405" t="str">
            <v>BIENES INMUEBLES</v>
          </cell>
          <cell r="C405" t="str">
            <v>N</v>
          </cell>
        </row>
        <row r="406">
          <cell r="A406">
            <v>581000</v>
          </cell>
          <cell r="B406" t="str">
            <v>Terrenos</v>
          </cell>
          <cell r="C406" t="str">
            <v>N</v>
          </cell>
        </row>
        <row r="407">
          <cell r="A407">
            <v>581001</v>
          </cell>
          <cell r="B407" t="str">
            <v>Terrenos</v>
          </cell>
          <cell r="C407" t="str">
            <v>S</v>
          </cell>
        </row>
        <row r="408">
          <cell r="A408">
            <v>582000</v>
          </cell>
          <cell r="B408" t="str">
            <v>Viviendas</v>
          </cell>
          <cell r="C408" t="str">
            <v>N</v>
          </cell>
        </row>
        <row r="409">
          <cell r="A409">
            <v>582001</v>
          </cell>
          <cell r="B409" t="str">
            <v>Viviendas</v>
          </cell>
          <cell r="C409" t="str">
            <v>S</v>
          </cell>
        </row>
        <row r="410">
          <cell r="A410">
            <v>583000</v>
          </cell>
          <cell r="B410" t="str">
            <v>Edificios no residenciales</v>
          </cell>
          <cell r="C410" t="str">
            <v>N</v>
          </cell>
        </row>
        <row r="411">
          <cell r="A411">
            <v>583001</v>
          </cell>
          <cell r="B411" t="str">
            <v>Edificios y locales</v>
          </cell>
          <cell r="C411" t="str">
            <v>S</v>
          </cell>
        </row>
        <row r="412">
          <cell r="A412">
            <v>589000</v>
          </cell>
          <cell r="B412" t="str">
            <v>Otros bienes inmuebles</v>
          </cell>
          <cell r="C412" t="str">
            <v>N</v>
          </cell>
        </row>
        <row r="413">
          <cell r="A413">
            <v>589001</v>
          </cell>
          <cell r="B413" t="str">
            <v>Adjudicaciones, expropiaciones e indemnizaciones de inmuebles</v>
          </cell>
          <cell r="C413" t="str">
            <v>S</v>
          </cell>
        </row>
        <row r="414">
          <cell r="A414">
            <v>590000</v>
          </cell>
          <cell r="B414" t="str">
            <v>ACTIVOS INTANGIBLES</v>
          </cell>
          <cell r="C414" t="str">
            <v>N</v>
          </cell>
        </row>
        <row r="415">
          <cell r="A415">
            <v>591000</v>
          </cell>
          <cell r="B415" t="str">
            <v>Software</v>
          </cell>
          <cell r="C415" t="str">
            <v>N</v>
          </cell>
        </row>
        <row r="416">
          <cell r="A416">
            <v>591001</v>
          </cell>
          <cell r="B416" t="str">
            <v>Software</v>
          </cell>
          <cell r="C416" t="str">
            <v>S</v>
          </cell>
        </row>
        <row r="417">
          <cell r="A417">
            <v>592000</v>
          </cell>
          <cell r="B417" t="str">
            <v>Patentes</v>
          </cell>
          <cell r="C417" t="str">
            <v>N</v>
          </cell>
        </row>
        <row r="418">
          <cell r="A418">
            <v>592001</v>
          </cell>
          <cell r="B418" t="str">
            <v>Patentes</v>
          </cell>
          <cell r="C418" t="str">
            <v>S</v>
          </cell>
        </row>
        <row r="419">
          <cell r="A419">
            <v>593000</v>
          </cell>
          <cell r="B419" t="str">
            <v>Marcas</v>
          </cell>
          <cell r="C419" t="str">
            <v>N</v>
          </cell>
        </row>
        <row r="420">
          <cell r="A420">
            <v>593001</v>
          </cell>
          <cell r="B420" t="str">
            <v>Marcas</v>
          </cell>
          <cell r="C420" t="str">
            <v>S</v>
          </cell>
        </row>
        <row r="421">
          <cell r="A421">
            <v>594000</v>
          </cell>
          <cell r="B421" t="str">
            <v>Derechos</v>
          </cell>
          <cell r="C421" t="str">
            <v>N</v>
          </cell>
        </row>
        <row r="422">
          <cell r="A422">
            <v>594001</v>
          </cell>
          <cell r="B422" t="str">
            <v>Derechos</v>
          </cell>
          <cell r="C422" t="str">
            <v>S</v>
          </cell>
        </row>
        <row r="423">
          <cell r="A423">
            <v>595000</v>
          </cell>
          <cell r="B423" t="str">
            <v>Concesiones</v>
          </cell>
          <cell r="C423" t="str">
            <v>N</v>
          </cell>
        </row>
        <row r="424">
          <cell r="A424">
            <v>595001</v>
          </cell>
          <cell r="B424" t="str">
            <v>Concesiones</v>
          </cell>
          <cell r="C424" t="str">
            <v>S</v>
          </cell>
        </row>
        <row r="425">
          <cell r="A425">
            <v>596000</v>
          </cell>
          <cell r="B425" t="str">
            <v>Franquicias</v>
          </cell>
          <cell r="C425" t="str">
            <v>N</v>
          </cell>
        </row>
        <row r="426">
          <cell r="A426">
            <v>596001</v>
          </cell>
          <cell r="B426" t="str">
            <v>Franquicias</v>
          </cell>
          <cell r="C426" t="str">
            <v>S</v>
          </cell>
        </row>
        <row r="427">
          <cell r="A427">
            <v>597000</v>
          </cell>
          <cell r="B427" t="str">
            <v>Licencias informáticas e intelectuales</v>
          </cell>
          <cell r="C427" t="str">
            <v>N</v>
          </cell>
        </row>
        <row r="428">
          <cell r="A428">
            <v>597001</v>
          </cell>
          <cell r="B428" t="str">
            <v>Licencias para programas de antivirus</v>
          </cell>
          <cell r="C428" t="str">
            <v>S</v>
          </cell>
        </row>
        <row r="429">
          <cell r="A429">
            <v>597002</v>
          </cell>
          <cell r="B429" t="str">
            <v>Licencias Microsoft Windows server 2003 edición estándar</v>
          </cell>
          <cell r="C429" t="str">
            <v>S</v>
          </cell>
        </row>
        <row r="430">
          <cell r="A430">
            <v>598000</v>
          </cell>
          <cell r="B430" t="str">
            <v>Licencias industriales, comerciales y otras</v>
          </cell>
          <cell r="C430" t="str">
            <v>N</v>
          </cell>
        </row>
        <row r="431">
          <cell r="A431">
            <v>598001</v>
          </cell>
          <cell r="B431" t="str">
            <v>Licencias industriales, comerciales y otras</v>
          </cell>
          <cell r="C431" t="str">
            <v>S</v>
          </cell>
        </row>
        <row r="432">
          <cell r="A432">
            <v>599000</v>
          </cell>
          <cell r="B432" t="str">
            <v>Otros activos intangibles</v>
          </cell>
          <cell r="C432" t="str">
            <v>N</v>
          </cell>
        </row>
        <row r="433">
          <cell r="A433">
            <v>599001</v>
          </cell>
          <cell r="B433" t="str">
            <v>Otros activos intangibles</v>
          </cell>
          <cell r="C433" t="str">
            <v>S</v>
          </cell>
        </row>
      </sheetData>
      <sheetData sheetId="4"/>
      <sheetData sheetId="5"/>
      <sheetData sheetId="6">
        <row r="1">
          <cell r="A1" t="str">
            <v>NOMENCLATURA</v>
          </cell>
          <cell r="B1" t="str">
            <v>DESCRPCION</v>
          </cell>
          <cell r="C1"/>
          <cell r="D1"/>
        </row>
        <row r="2">
          <cell r="A2">
            <v>100</v>
          </cell>
          <cell r="B2" t="str">
            <v>INGRESOS PROPIOS Y APROVECHAMIENTOS</v>
          </cell>
          <cell r="C2"/>
          <cell r="D2"/>
        </row>
        <row r="3">
          <cell r="A3">
            <v>101</v>
          </cell>
          <cell r="B3" t="str">
            <v>INGRESOS PROPIOS (IMPUESTOS, DERECHOS, PRODUCTOS Y APROVECHAMIENTOS)</v>
          </cell>
          <cell r="C3"/>
          <cell r="D3"/>
        </row>
        <row r="4">
          <cell r="A4">
            <v>102</v>
          </cell>
          <cell r="B4" t="str">
            <v>INGRESOS PROPIOS</v>
          </cell>
          <cell r="C4"/>
          <cell r="D4"/>
        </row>
        <row r="5">
          <cell r="A5">
            <v>103</v>
          </cell>
          <cell r="B5" t="str">
            <v>INGRESOS PROPIOS APORTACIONES MUNICIPALES</v>
          </cell>
          <cell r="C5"/>
          <cell r="D5"/>
        </row>
        <row r="6">
          <cell r="A6">
            <v>104</v>
          </cell>
          <cell r="B6" t="str">
            <v>APROVECHAMIENTO POR EL USO DE LA I NFRAESTRUCTURA ESTATAL</v>
          </cell>
          <cell r="C6"/>
          <cell r="D6"/>
        </row>
        <row r="7">
          <cell r="A7">
            <v>110</v>
          </cell>
          <cell r="B7" t="str">
            <v>RECURSO F.O.I.S.</v>
          </cell>
          <cell r="C7"/>
          <cell r="D7"/>
        </row>
        <row r="8">
          <cell r="A8">
            <v>111</v>
          </cell>
          <cell r="B8" t="str">
            <v>RECURSO A.P.I.</v>
          </cell>
          <cell r="C8"/>
          <cell r="D8"/>
        </row>
        <row r="9">
          <cell r="A9">
            <v>130</v>
          </cell>
          <cell r="B9" t="str">
            <v>Reintegro con Ingresos Propios Ramo 28</v>
          </cell>
          <cell r="C9"/>
          <cell r="D9"/>
        </row>
        <row r="10">
          <cell r="A10">
            <v>136</v>
          </cell>
          <cell r="B10" t="str">
            <v>Reintegro con Ingresos Propios FONE</v>
          </cell>
          <cell r="C10"/>
          <cell r="D10"/>
        </row>
        <row r="11">
          <cell r="A11">
            <v>137</v>
          </cell>
          <cell r="B11" t="str">
            <v>Reintegro con Ingresos Propios FASSA</v>
          </cell>
          <cell r="C11"/>
          <cell r="D11"/>
        </row>
        <row r="12">
          <cell r="A12">
            <v>138</v>
          </cell>
          <cell r="B12" t="str">
            <v>Reintegro con Ingresos Propios FAIS/FISE</v>
          </cell>
          <cell r="C12"/>
          <cell r="D12"/>
        </row>
        <row r="13">
          <cell r="A13">
            <v>139</v>
          </cell>
          <cell r="B13" t="str">
            <v>Reintegro con Ingresos Propios FAIS/FISM</v>
          </cell>
          <cell r="C13"/>
          <cell r="D13"/>
        </row>
        <row r="14">
          <cell r="A14">
            <v>140</v>
          </cell>
          <cell r="B14" t="str">
            <v>Reintegro con Ingresos Propios FORTAMUN</v>
          </cell>
          <cell r="C14"/>
          <cell r="D14"/>
        </row>
        <row r="15">
          <cell r="A15">
            <v>141</v>
          </cell>
          <cell r="B15" t="str">
            <v>Reintegro con Ingresos Propios FAM/Asistencia Social</v>
          </cell>
          <cell r="C15"/>
          <cell r="D15"/>
        </row>
        <row r="16">
          <cell r="A16">
            <v>142</v>
          </cell>
          <cell r="B16" t="str">
            <v>Reintegro con Ingresos Propios FAM/Infraest. Educación Básica</v>
          </cell>
          <cell r="C16"/>
          <cell r="D16"/>
        </row>
        <row r="17">
          <cell r="A17">
            <v>143</v>
          </cell>
          <cell r="B17" t="str">
            <v>Reintegro con Ingresos Propios FAM/ Infraest. Educación Media Superior y Superior</v>
          </cell>
          <cell r="C17"/>
          <cell r="D17"/>
        </row>
        <row r="18">
          <cell r="A18">
            <v>145</v>
          </cell>
          <cell r="B18" t="str">
            <v>Reintegro con Ingresos Propios FAETA/Educ. Tecnológica (CONALEP)</v>
          </cell>
          <cell r="C18"/>
          <cell r="D18"/>
        </row>
        <row r="19">
          <cell r="A19">
            <v>146</v>
          </cell>
          <cell r="B19" t="str">
            <v>Reintegro con Ingresos Propios FAETA Educ. Adultos (IEEA)</v>
          </cell>
          <cell r="C19"/>
          <cell r="D19"/>
        </row>
        <row r="20">
          <cell r="A20">
            <v>147</v>
          </cell>
          <cell r="B20" t="str">
            <v>Reintegro con Ingresos Propios FASP</v>
          </cell>
          <cell r="C20"/>
          <cell r="D20"/>
        </row>
        <row r="21">
          <cell r="A21">
            <v>148</v>
          </cell>
          <cell r="B21" t="str">
            <v>Reintegro con Ingresos Propios FAFEF</v>
          </cell>
          <cell r="C21"/>
          <cell r="D21"/>
        </row>
        <row r="22">
          <cell r="A22">
            <v>149</v>
          </cell>
          <cell r="B22" t="str">
            <v>Reintegro con Ingresos Propios SEDATU</v>
          </cell>
          <cell r="C22"/>
          <cell r="D22"/>
        </row>
        <row r="23">
          <cell r="A23">
            <v>161</v>
          </cell>
          <cell r="B23" t="str">
            <v>Reintegro con Ingresos Propios CULTURA Ramo 48</v>
          </cell>
          <cell r="C23"/>
          <cell r="D23"/>
        </row>
        <row r="24">
          <cell r="A24">
            <v>162</v>
          </cell>
          <cell r="B24" t="str">
            <v>Reintegro con Ingresos Propios UABCS</v>
          </cell>
          <cell r="C24"/>
          <cell r="D24"/>
        </row>
        <row r="25">
          <cell r="A25">
            <v>163</v>
          </cell>
          <cell r="B25" t="str">
            <v>Reintegro con Ingresos Propios CONAGUA</v>
          </cell>
          <cell r="C25"/>
          <cell r="D25"/>
        </row>
        <row r="26">
          <cell r="A26">
            <v>164</v>
          </cell>
          <cell r="B26" t="str">
            <v>Reintegro con Ingresos Propios SEGOB</v>
          </cell>
          <cell r="C26"/>
          <cell r="D26"/>
        </row>
        <row r="27">
          <cell r="A27">
            <v>165</v>
          </cell>
          <cell r="B27" t="str">
            <v>Reintegro con Ingresos Propios SECTUR</v>
          </cell>
          <cell r="C27"/>
          <cell r="D27"/>
        </row>
        <row r="28">
          <cell r="A28">
            <v>166</v>
          </cell>
          <cell r="B28" t="str">
            <v>Reintegro con Ingresos Propios PROFIS</v>
          </cell>
          <cell r="C28"/>
          <cell r="D28"/>
        </row>
        <row r="29">
          <cell r="A29">
            <v>167</v>
          </cell>
          <cell r="B29" t="str">
            <v>Reintegro con Ingresos Propios SSP</v>
          </cell>
          <cell r="C29"/>
          <cell r="D29"/>
        </row>
        <row r="30">
          <cell r="A30">
            <v>168</v>
          </cell>
          <cell r="B30" t="str">
            <v>Reintegro con Ingresos Propios COBACH</v>
          </cell>
          <cell r="C30"/>
          <cell r="D30"/>
        </row>
        <row r="31">
          <cell r="A31">
            <v>169</v>
          </cell>
          <cell r="B31" t="str">
            <v>Reintegro con Ingresos Propios Fondo Proporcional Peso a Peso</v>
          </cell>
          <cell r="C31"/>
          <cell r="D31"/>
        </row>
        <row r="32">
          <cell r="A32">
            <v>170</v>
          </cell>
          <cell r="B32" t="str">
            <v>Reintegro con Ingresos Propios CECYTE</v>
          </cell>
          <cell r="C32"/>
          <cell r="D32"/>
        </row>
        <row r="33">
          <cell r="A33">
            <v>171</v>
          </cell>
          <cell r="B33" t="str">
            <v>Reintegro con Ingresos Propios Imp. Ref. Penal (SETEC)</v>
          </cell>
          <cell r="C33"/>
          <cell r="D33"/>
        </row>
        <row r="34">
          <cell r="A34">
            <v>172</v>
          </cell>
          <cell r="B34" t="str">
            <v>Reintegro con Ingresos Propios CONADE</v>
          </cell>
          <cell r="C34"/>
          <cell r="D34"/>
        </row>
        <row r="35">
          <cell r="A35">
            <v>173</v>
          </cell>
          <cell r="B35" t="str">
            <v>Reintegro con Ingresos Propios Conv. Salud (Ramo 12)</v>
          </cell>
          <cell r="C35"/>
          <cell r="D35"/>
        </row>
        <row r="36">
          <cell r="A36">
            <v>174</v>
          </cell>
          <cell r="B36" t="str">
            <v>Reintegro con Ingresos Propios Secretaría de Economía</v>
          </cell>
          <cell r="C36"/>
          <cell r="D36"/>
        </row>
        <row r="37">
          <cell r="A37">
            <v>177</v>
          </cell>
          <cell r="B37" t="str">
            <v>Reintegro con Ingresos Propios SUBSEMUN</v>
          </cell>
          <cell r="C37"/>
          <cell r="D37"/>
        </row>
        <row r="38">
          <cell r="A38">
            <v>178</v>
          </cell>
          <cell r="B38" t="str">
            <v>Reintegro con Ingresos Propios Fondo Para La Infraest. de los Estados</v>
          </cell>
          <cell r="C38"/>
          <cell r="D38"/>
        </row>
        <row r="39">
          <cell r="A39">
            <v>179</v>
          </cell>
          <cell r="B39" t="str">
            <v>Reintegro con Ingresos Propios Apoyo Financiero Ext. UABCS</v>
          </cell>
          <cell r="C39"/>
          <cell r="D39"/>
        </row>
        <row r="40">
          <cell r="A40">
            <v>180</v>
          </cell>
          <cell r="B40" t="str">
            <v>Reintegro con Ingresos Propios Apoyo Financiero Ext. ISIFE</v>
          </cell>
          <cell r="C40"/>
          <cell r="D40"/>
        </row>
        <row r="41">
          <cell r="A41">
            <v>181</v>
          </cell>
          <cell r="B41" t="str">
            <v>Reintegro con Ingresos Propios Subs. Policía Estatal Acreditable (SPA)</v>
          </cell>
          <cell r="C41"/>
          <cell r="D41"/>
        </row>
        <row r="42">
          <cell r="A42">
            <v>182</v>
          </cell>
          <cell r="B42" t="str">
            <v>Reintegro con Ingresos Propios PROASP</v>
          </cell>
          <cell r="C42"/>
          <cell r="D42"/>
        </row>
        <row r="43">
          <cell r="A43">
            <v>183</v>
          </cell>
          <cell r="B43" t="str">
            <v>Reintegro con Ingresos Propios Ingresos Extraordinarios</v>
          </cell>
          <cell r="C43"/>
          <cell r="D43"/>
        </row>
        <row r="44">
          <cell r="A44">
            <v>184</v>
          </cell>
          <cell r="B44" t="str">
            <v>Reintegro con Ingresos Propios Ingresos Derivados del 5 Al Millar (Obra)</v>
          </cell>
          <cell r="C44"/>
          <cell r="D44"/>
        </row>
        <row r="45">
          <cell r="A45">
            <v>185</v>
          </cell>
          <cell r="B45" t="str">
            <v>Reintegro con Ingresos Propios Ingresos Extraordinarios Ramo 23</v>
          </cell>
          <cell r="C45"/>
          <cell r="D45"/>
        </row>
        <row r="46">
          <cell r="A46">
            <v>186</v>
          </cell>
          <cell r="B46" t="str">
            <v>Reintegro con Ingresos Propios Ingresos Extraordinarios Ramo 21</v>
          </cell>
          <cell r="C46"/>
          <cell r="D46"/>
        </row>
        <row r="47">
          <cell r="A47">
            <v>187</v>
          </cell>
          <cell r="B47" t="str">
            <v>Reintegro con Ingresos Propios Ingresos Extraordinarios Sep. Ramo 11</v>
          </cell>
          <cell r="C47"/>
          <cell r="D47"/>
        </row>
        <row r="48">
          <cell r="A48">
            <v>188</v>
          </cell>
          <cell r="B48" t="str">
            <v>Reintegro con Ingresos Propios Ingresos Ext. Ramo 09 (SCT)</v>
          </cell>
          <cell r="C48"/>
          <cell r="D48"/>
        </row>
        <row r="49">
          <cell r="A49">
            <v>189</v>
          </cell>
          <cell r="B49" t="str">
            <v>Reintegro con Ingresos Propios Ingresos Ext. Ramo 16 (SEMARNAT)</v>
          </cell>
          <cell r="C49"/>
          <cell r="D49"/>
        </row>
        <row r="50">
          <cell r="A50">
            <v>201</v>
          </cell>
          <cell r="B50" t="str">
            <v>BONO CUPÓN CERO</v>
          </cell>
          <cell r="C50"/>
          <cell r="D50"/>
        </row>
        <row r="51">
          <cell r="A51">
            <v>500</v>
          </cell>
          <cell r="B51" t="str">
            <v>RECURSOS FEDERALES</v>
          </cell>
          <cell r="C51"/>
          <cell r="D51"/>
        </row>
        <row r="52">
          <cell r="A52">
            <v>530</v>
          </cell>
          <cell r="B52" t="str">
            <v>PARTICIPACIONES Ramo 28</v>
          </cell>
          <cell r="C52"/>
          <cell r="D52"/>
        </row>
        <row r="53">
          <cell r="A53">
            <v>535</v>
          </cell>
          <cell r="B53" t="str">
            <v>INTERESES BANCARIOS PROYECTADOS, RECURSOS FEDERALES</v>
          </cell>
          <cell r="C53"/>
          <cell r="D53"/>
        </row>
        <row r="54">
          <cell r="A54">
            <v>536</v>
          </cell>
          <cell r="B54" t="str">
            <v>FONE Ramo 33</v>
          </cell>
          <cell r="C54"/>
          <cell r="D54"/>
        </row>
        <row r="55">
          <cell r="A55">
            <v>537</v>
          </cell>
          <cell r="B55" t="str">
            <v>FASSA Ramo 33</v>
          </cell>
          <cell r="C55"/>
          <cell r="D55"/>
        </row>
        <row r="56">
          <cell r="A56">
            <v>538</v>
          </cell>
          <cell r="B56" t="str">
            <v>FAIS/FISE Ramo 33</v>
          </cell>
          <cell r="C56"/>
          <cell r="D56"/>
        </row>
        <row r="57">
          <cell r="A57">
            <v>539</v>
          </cell>
          <cell r="B57" t="str">
            <v>FAIS/FISM Ramo 33</v>
          </cell>
          <cell r="C57"/>
          <cell r="D57"/>
        </row>
        <row r="58">
          <cell r="A58">
            <v>540</v>
          </cell>
          <cell r="B58" t="str">
            <v>FORTAMUN Ramo 33</v>
          </cell>
          <cell r="C58"/>
          <cell r="D58"/>
        </row>
        <row r="59">
          <cell r="A59">
            <v>541</v>
          </cell>
          <cell r="B59" t="str">
            <v>FAM/ASISTENCIA SOCIAL Ramo 33</v>
          </cell>
          <cell r="C59"/>
          <cell r="D59"/>
        </row>
        <row r="60">
          <cell r="A60">
            <v>542</v>
          </cell>
          <cell r="B60" t="str">
            <v>FAM/INFRAESTRUCTURA DE EDUCACIÓN BÁSICA Ramo 33</v>
          </cell>
          <cell r="C60"/>
          <cell r="D60"/>
        </row>
        <row r="61">
          <cell r="A61">
            <v>543</v>
          </cell>
          <cell r="B61" t="str">
            <v>FAM/EDUCACIÓN MEDIA SUPERIOR Y SUPERIOR Ramo 33</v>
          </cell>
          <cell r="C61"/>
          <cell r="D61"/>
        </row>
        <row r="62">
          <cell r="A62">
            <v>545</v>
          </cell>
          <cell r="B62" t="str">
            <v>FAETA/EDUCACIÓN TECNOLÓGICA ( CONALEP) Ramo 33</v>
          </cell>
          <cell r="C62"/>
          <cell r="D62"/>
        </row>
        <row r="63">
          <cell r="A63">
            <v>546</v>
          </cell>
          <cell r="B63" t="str">
            <v>FAETA/EDUCACIÓN ADULTOS (IEEA) Ramo 33</v>
          </cell>
          <cell r="C63"/>
          <cell r="D63"/>
        </row>
        <row r="64">
          <cell r="A64">
            <v>547</v>
          </cell>
          <cell r="B64" t="str">
            <v>FASP Ramo 33</v>
          </cell>
          <cell r="C64"/>
          <cell r="D64"/>
        </row>
        <row r="65">
          <cell r="A65">
            <v>548</v>
          </cell>
          <cell r="B65" t="str">
            <v>FAFEF Ramo 33</v>
          </cell>
          <cell r="C65"/>
          <cell r="D65"/>
        </row>
        <row r="66">
          <cell r="A66">
            <v>549</v>
          </cell>
          <cell r="B66" t="str">
            <v>SRIA. DE DES. AGRARIO TERRITORIAL Y URBANO (SEDATU) Ramo 15</v>
          </cell>
          <cell r="C66"/>
          <cell r="D66"/>
        </row>
        <row r="67">
          <cell r="A67">
            <v>561</v>
          </cell>
          <cell r="B67" t="str">
            <v>CULTURA FEDERAL Ramo 48</v>
          </cell>
          <cell r="C67"/>
          <cell r="D67"/>
        </row>
        <row r="68">
          <cell r="A68">
            <v>562</v>
          </cell>
          <cell r="B68" t="str">
            <v>UNIVERSIDAD AUTÓNOMA DE B.C.S. Ramo 11</v>
          </cell>
          <cell r="C68"/>
          <cell r="D68"/>
        </row>
        <row r="69">
          <cell r="A69">
            <v>563</v>
          </cell>
          <cell r="B69" t="str">
            <v>CONAGUA Ramo 16</v>
          </cell>
          <cell r="C69"/>
          <cell r="D69"/>
        </row>
        <row r="70">
          <cell r="A70">
            <v>564</v>
          </cell>
          <cell r="B70" t="str">
            <v>SECRETARÍA DE GOBERNACIÓN Ramo 04</v>
          </cell>
          <cell r="C70"/>
          <cell r="D70"/>
        </row>
        <row r="71">
          <cell r="A71">
            <v>565</v>
          </cell>
          <cell r="B71" t="str">
            <v>SECRETARÍA DE TURISMO Ramo 21</v>
          </cell>
          <cell r="C71"/>
          <cell r="D71"/>
        </row>
        <row r="72">
          <cell r="A72">
            <v>566</v>
          </cell>
          <cell r="B72" t="str">
            <v>PROFIS</v>
          </cell>
          <cell r="C72"/>
          <cell r="D72"/>
        </row>
        <row r="73">
          <cell r="A73">
            <v>567</v>
          </cell>
          <cell r="B73" t="str">
            <v>SECRETARÍA DE SEGURIDAD PÚBLICA</v>
          </cell>
          <cell r="C73"/>
          <cell r="D73"/>
        </row>
        <row r="74">
          <cell r="A74">
            <v>568</v>
          </cell>
          <cell r="B74" t="str">
            <v>COBACH Ramo 11</v>
          </cell>
          <cell r="C74"/>
          <cell r="D74"/>
        </row>
        <row r="75">
          <cell r="A75">
            <v>569</v>
          </cell>
          <cell r="B75" t="str">
            <v>FONDO PROPORCIONAL PESO A PESO</v>
          </cell>
          <cell r="C75"/>
          <cell r="D75"/>
        </row>
        <row r="76">
          <cell r="A76">
            <v>570</v>
          </cell>
          <cell r="B76" t="str">
            <v>CECYTE Ramo 11</v>
          </cell>
          <cell r="C76"/>
          <cell r="D76"/>
        </row>
        <row r="77">
          <cell r="A77">
            <v>571</v>
          </cell>
          <cell r="B77" t="str">
            <v>IMPLEMENTACIÓN DE LA REFORMA PENAL (SETEC)</v>
          </cell>
          <cell r="C77"/>
          <cell r="D77"/>
        </row>
        <row r="78">
          <cell r="A78">
            <v>572</v>
          </cell>
          <cell r="B78" t="str">
            <v>CONADE Ramo 11</v>
          </cell>
          <cell r="C78"/>
          <cell r="D78"/>
        </row>
        <row r="79">
          <cell r="A79">
            <v>573</v>
          </cell>
          <cell r="B79" t="str">
            <v>CONVENIOS Ramo 12</v>
          </cell>
          <cell r="C79"/>
          <cell r="D79"/>
        </row>
        <row r="80">
          <cell r="A80">
            <v>574</v>
          </cell>
          <cell r="B80" t="str">
            <v>SECRETARÍA DE ECONOMÍA Ramo 10</v>
          </cell>
          <cell r="C80"/>
          <cell r="D80"/>
        </row>
        <row r="81">
          <cell r="A81">
            <v>577</v>
          </cell>
          <cell r="B81" t="str">
            <v>SUBSIDIO SEGURIDAD PÚBLICA MUNICIPAL</v>
          </cell>
          <cell r="C81"/>
          <cell r="D81"/>
        </row>
        <row r="82">
          <cell r="A82">
            <v>578</v>
          </cell>
          <cell r="B82" t="str">
            <v>FIDEICOMISO PARA LA INFRAESTRUCTURA DE LOS ESTADOS Ramo 23</v>
          </cell>
          <cell r="C82"/>
          <cell r="D82"/>
        </row>
        <row r="83">
          <cell r="A83">
            <v>579</v>
          </cell>
          <cell r="B83" t="str">
            <v>APOYO FINANCIERO EXTRAORDINARIO UABCS Ramo 11</v>
          </cell>
          <cell r="C83"/>
          <cell r="D83"/>
        </row>
        <row r="84">
          <cell r="A84">
            <v>580</v>
          </cell>
          <cell r="B84" t="str">
            <v>APOYO FINANCIERO EXTRAORDINARIO ISIFE Ramo 11</v>
          </cell>
          <cell r="C84"/>
          <cell r="D84"/>
        </row>
        <row r="85">
          <cell r="A85">
            <v>581</v>
          </cell>
          <cell r="B85" t="str">
            <v>SUBSIDIO POLICÍA ESTATAL ACREDITABLE (SPA)</v>
          </cell>
          <cell r="C85"/>
          <cell r="D85"/>
        </row>
        <row r="86">
          <cell r="A86">
            <v>582</v>
          </cell>
          <cell r="B86" t="str">
            <v>PROASP PROG. DE ALCANCE NAL. EN MAT. DE SEG. PUB. Ramo 04</v>
          </cell>
          <cell r="C86"/>
          <cell r="D86"/>
        </row>
        <row r="87">
          <cell r="A87">
            <v>583</v>
          </cell>
          <cell r="B87" t="str">
            <v>INGRESOS EXTRAORDINARIOS</v>
          </cell>
          <cell r="C87"/>
          <cell r="D87"/>
        </row>
        <row r="88">
          <cell r="A88">
            <v>584</v>
          </cell>
          <cell r="B88" t="str">
            <v>INGRESOS DERIVADOS DEL 5 AL MILLAR (OBRA)</v>
          </cell>
          <cell r="C88"/>
          <cell r="D88"/>
        </row>
        <row r="89">
          <cell r="A89">
            <v>585</v>
          </cell>
          <cell r="B89" t="str">
            <v>INGRESOS EXT Ramo 23 ( Provisiones Salariales y Económicas )</v>
          </cell>
          <cell r="C89"/>
          <cell r="D89"/>
        </row>
        <row r="90">
          <cell r="A90">
            <v>586</v>
          </cell>
          <cell r="B90" t="str">
            <v>INGRESOS EXT Ramo 21 (TURISMO)</v>
          </cell>
          <cell r="C90"/>
          <cell r="D90"/>
        </row>
        <row r="91">
          <cell r="A91">
            <v>587</v>
          </cell>
          <cell r="B91" t="str">
            <v>INGRESOS EXT Ramo 11 (SEP)</v>
          </cell>
          <cell r="C91"/>
          <cell r="D91"/>
        </row>
        <row r="92">
          <cell r="A92">
            <v>588</v>
          </cell>
          <cell r="B92" t="str">
            <v>INGRESOS EXT Ramo 09 (SCT)</v>
          </cell>
          <cell r="C92"/>
          <cell r="D92"/>
        </row>
        <row r="93">
          <cell r="A93">
            <v>589</v>
          </cell>
          <cell r="B93" t="str">
            <v>INGRESOS EXT Ramo 16 (SEMARNAT)</v>
          </cell>
          <cell r="C93"/>
          <cell r="D93"/>
        </row>
        <row r="94">
          <cell r="A94">
            <v>590</v>
          </cell>
          <cell r="B94" t="str">
            <v>INGRESOS EXT FORTASEG Ramo 04 (GOBERNACIÓN)</v>
          </cell>
          <cell r="C94"/>
          <cell r="D94"/>
        </row>
        <row r="95">
          <cell r="A95">
            <v>591</v>
          </cell>
          <cell r="B95" t="str">
            <v>INGRESOS EXT Ramo 20 (BIENESTAR)</v>
          </cell>
          <cell r="C95"/>
          <cell r="D95"/>
        </row>
        <row r="96">
          <cell r="A96">
            <v>598</v>
          </cell>
          <cell r="B96" t="str">
            <v>REMANENTE FONE 2016</v>
          </cell>
          <cell r="C96"/>
          <cell r="D96"/>
        </row>
        <row r="97">
          <cell r="A97">
            <v>599</v>
          </cell>
          <cell r="B97" t="str">
            <v>REMANENTE FONE 2015</v>
          </cell>
          <cell r="C97"/>
          <cell r="D97"/>
        </row>
        <row r="98">
          <cell r="A98">
            <v>700</v>
          </cell>
          <cell r="B98" t="str">
            <v>OTROS RECURSOS</v>
          </cell>
          <cell r="C98"/>
          <cell r="D98"/>
        </row>
        <row r="99">
          <cell r="A99">
            <v>736</v>
          </cell>
          <cell r="B99" t="str">
            <v>RENDIMIENTOS FONE</v>
          </cell>
          <cell r="C99"/>
          <cell r="D99"/>
        </row>
        <row r="100">
          <cell r="A100">
            <v>737</v>
          </cell>
          <cell r="B100" t="str">
            <v>RENDIMIENTOS FAM</v>
          </cell>
          <cell r="C100"/>
          <cell r="D100"/>
        </row>
        <row r="101">
          <cell r="A101">
            <v>747</v>
          </cell>
          <cell r="B101" t="str">
            <v>RENDIMIENTOS FASP</v>
          </cell>
          <cell r="C101"/>
          <cell r="D101"/>
        </row>
        <row r="102">
          <cell r="A102">
            <v>783</v>
          </cell>
          <cell r="B102" t="str">
            <v>INGRESOS EXTRAORDINARIOS (OTROS)</v>
          </cell>
          <cell r="C102"/>
          <cell r="D102"/>
        </row>
      </sheetData>
      <sheetData sheetId="7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AS"/>
      <sheetName val="CAPITULO"/>
      <sheetName val="PARTIDA"/>
      <sheetName val="COG"/>
      <sheetName val="FF"/>
      <sheetName val="PROCED"/>
    </sheetNames>
    <sheetDataSet>
      <sheetData sheetId="0"/>
      <sheetData sheetId="1"/>
      <sheetData sheetId="2">
        <row r="2">
          <cell r="H2" t="str">
            <v>MATERIALES</v>
          </cell>
        </row>
        <row r="3">
          <cell r="H3" t="str">
            <v>SERVICIOS</v>
          </cell>
        </row>
        <row r="4">
          <cell r="H4" t="str">
            <v>BIENES</v>
          </cell>
        </row>
      </sheetData>
      <sheetData sheetId="3">
        <row r="1">
          <cell r="A1" t="str">
            <v>CUENTA</v>
          </cell>
          <cell r="B1" t="str">
            <v>CONCEPTO</v>
          </cell>
          <cell r="C1" t="str">
            <v>AFECTABLE/ NO
AFECTABLE</v>
          </cell>
        </row>
        <row r="2">
          <cell r="A2">
            <v>210000</v>
          </cell>
          <cell r="B2" t="str">
            <v>MATERIALES DE ADMINISTRACIÓN, EMISIÓN DE DOCUMENTOS Y ARTÍCULO OFICIALES</v>
          </cell>
          <cell r="C2" t="str">
            <v>N</v>
          </cell>
        </row>
        <row r="3">
          <cell r="A3">
            <v>211000</v>
          </cell>
          <cell r="B3" t="str">
            <v>Materiales, útiles y equipos menores de oficina</v>
          </cell>
          <cell r="C3" t="str">
            <v>N</v>
          </cell>
        </row>
        <row r="4">
          <cell r="A4">
            <v>211001</v>
          </cell>
          <cell r="B4" t="str">
            <v>Material de oficina</v>
          </cell>
          <cell r="C4" t="str">
            <v>S</v>
          </cell>
        </row>
        <row r="5">
          <cell r="A5">
            <v>212000</v>
          </cell>
          <cell r="B5" t="str">
            <v>Materiales y útiles de impresión y reproducción</v>
          </cell>
          <cell r="C5" t="str">
            <v>N</v>
          </cell>
        </row>
        <row r="6">
          <cell r="A6">
            <v>212001</v>
          </cell>
          <cell r="B6" t="str">
            <v>Material y útiles de impresión</v>
          </cell>
          <cell r="C6" t="str">
            <v>S</v>
          </cell>
        </row>
        <row r="7">
          <cell r="A7">
            <v>213000</v>
          </cell>
          <cell r="B7" t="str">
            <v>Material estadístico y geográfico</v>
          </cell>
          <cell r="C7" t="str">
            <v>N</v>
          </cell>
        </row>
        <row r="8">
          <cell r="A8">
            <v>213001</v>
          </cell>
          <cell r="B8" t="str">
            <v>Material estadístico y geográfico</v>
          </cell>
          <cell r="C8" t="str">
            <v>S</v>
          </cell>
        </row>
        <row r="9">
          <cell r="A9">
            <v>214000</v>
          </cell>
          <cell r="B9" t="str">
            <v>Materiales, útiles y equipos menores de tecnologías de la información y comunicaciones</v>
          </cell>
          <cell r="C9" t="str">
            <v>N</v>
          </cell>
        </row>
        <row r="10">
          <cell r="A10">
            <v>214001</v>
          </cell>
          <cell r="B10" t="str">
            <v>Materiales, útiles y equipos menores de tecnologías de la información y comunicaciones</v>
          </cell>
          <cell r="C10" t="str">
            <v>S</v>
          </cell>
        </row>
        <row r="11">
          <cell r="A11">
            <v>215000</v>
          </cell>
          <cell r="B11" t="str">
            <v>Material impreso e información digital</v>
          </cell>
          <cell r="C11" t="str">
            <v>N</v>
          </cell>
        </row>
        <row r="12">
          <cell r="A12">
            <v>215001</v>
          </cell>
          <cell r="B12" t="str">
            <v>Material didáctico</v>
          </cell>
          <cell r="C12" t="str">
            <v>S</v>
          </cell>
        </row>
        <row r="13">
          <cell r="A13">
            <v>215002</v>
          </cell>
          <cell r="B13" t="str">
            <v>Suscripciones a Periódicos, Revistas y Publicaciones Especializadas</v>
          </cell>
          <cell r="C13" t="str">
            <v>S</v>
          </cell>
        </row>
        <row r="14">
          <cell r="A14">
            <v>215003</v>
          </cell>
          <cell r="B14" t="str">
            <v>Material impreso e información digital</v>
          </cell>
          <cell r="C14" t="str">
            <v>S</v>
          </cell>
        </row>
        <row r="15">
          <cell r="A15">
            <v>216000</v>
          </cell>
          <cell r="B15" t="str">
            <v>Material de limpieza</v>
          </cell>
          <cell r="C15" t="str">
            <v>N</v>
          </cell>
        </row>
        <row r="16">
          <cell r="A16">
            <v>216001</v>
          </cell>
          <cell r="B16" t="str">
            <v>Material de limpieza</v>
          </cell>
          <cell r="C16" t="str">
            <v>S</v>
          </cell>
        </row>
        <row r="17">
          <cell r="A17">
            <v>217000</v>
          </cell>
          <cell r="B17" t="str">
            <v>Materiales y útiles de enseñanza</v>
          </cell>
          <cell r="C17" t="str">
            <v>N</v>
          </cell>
        </row>
        <row r="18">
          <cell r="A18">
            <v>217001</v>
          </cell>
          <cell r="B18" t="str">
            <v>Materiales y útiles de enseñanza</v>
          </cell>
          <cell r="C18" t="str">
            <v>S</v>
          </cell>
        </row>
        <row r="19">
          <cell r="A19">
            <v>218000</v>
          </cell>
          <cell r="B19" t="str">
            <v>Materiales para el registro e identificación de bienes y personas</v>
          </cell>
          <cell r="C19" t="str">
            <v>N</v>
          </cell>
        </row>
        <row r="20">
          <cell r="A20">
            <v>218001</v>
          </cell>
          <cell r="B20" t="str">
            <v>Materiales para el registro e identificación de bienes y personas</v>
          </cell>
          <cell r="C20" t="str">
            <v>S</v>
          </cell>
        </row>
        <row r="21">
          <cell r="A21">
            <v>218002</v>
          </cell>
          <cell r="B21" t="str">
            <v>Placas, Engomados, Calcomanías y Hologramas</v>
          </cell>
          <cell r="C21" t="str">
            <v>S</v>
          </cell>
        </row>
        <row r="22">
          <cell r="A22">
            <v>218003</v>
          </cell>
          <cell r="B22" t="str">
            <v>Emisión de Licencias de Conducir</v>
          </cell>
          <cell r="C22" t="str">
            <v>S</v>
          </cell>
        </row>
        <row r="23">
          <cell r="A23">
            <v>218004</v>
          </cell>
          <cell r="B23" t="str">
            <v>Emisión de Formatos Únicos de Control Vehicular</v>
          </cell>
          <cell r="C23" t="str">
            <v>S</v>
          </cell>
        </row>
        <row r="24">
          <cell r="A24">
            <v>220000</v>
          </cell>
          <cell r="B24" t="str">
            <v>ALIMENTOS Y UTENSILIOS</v>
          </cell>
          <cell r="C24" t="str">
            <v>N</v>
          </cell>
        </row>
        <row r="25">
          <cell r="A25">
            <v>221000</v>
          </cell>
          <cell r="B25" t="str">
            <v>Productos alimenticios para personas</v>
          </cell>
          <cell r="C25" t="str">
            <v>N</v>
          </cell>
        </row>
        <row r="26">
          <cell r="A26">
            <v>221001</v>
          </cell>
          <cell r="B26" t="str">
            <v>Alimentación de personas</v>
          </cell>
          <cell r="C26" t="str">
            <v>S</v>
          </cell>
        </row>
        <row r="27">
          <cell r="A27">
            <v>222000</v>
          </cell>
          <cell r="B27" t="str">
            <v>Productos alimenticios para animales</v>
          </cell>
          <cell r="C27" t="str">
            <v>N</v>
          </cell>
        </row>
        <row r="28">
          <cell r="A28">
            <v>222001</v>
          </cell>
          <cell r="B28" t="str">
            <v>Alimentación de animales</v>
          </cell>
          <cell r="C28" t="str">
            <v>S</v>
          </cell>
        </row>
        <row r="29">
          <cell r="A29">
            <v>223000</v>
          </cell>
          <cell r="B29" t="str">
            <v>Utensilios para el servicio de alimentación</v>
          </cell>
          <cell r="C29" t="str">
            <v>N</v>
          </cell>
        </row>
        <row r="30">
          <cell r="A30">
            <v>223001</v>
          </cell>
          <cell r="B30" t="str">
            <v>Utensilios para el servicio de alimentación</v>
          </cell>
          <cell r="C30" t="str">
            <v>S</v>
          </cell>
        </row>
        <row r="31">
          <cell r="A31">
            <v>230000</v>
          </cell>
          <cell r="B31" t="str">
            <v>MATERIAS PRIMAS Y MATERIALES DE PRODUCCIÓN Y COMERCIALIZACIÓN</v>
          </cell>
          <cell r="C31" t="str">
            <v>N</v>
          </cell>
        </row>
        <row r="32">
          <cell r="A32">
            <v>231000</v>
          </cell>
          <cell r="B32" t="str">
            <v>Productos alimenticios, agropecuarios y forestales adquiridos como materia prima</v>
          </cell>
          <cell r="C32" t="str">
            <v>N</v>
          </cell>
        </row>
        <row r="33">
          <cell r="A33">
            <v>231001</v>
          </cell>
          <cell r="B33" t="str">
            <v>Materias primas para producción</v>
          </cell>
          <cell r="C33" t="str">
            <v>S</v>
          </cell>
        </row>
        <row r="34">
          <cell r="A34">
            <v>232000</v>
          </cell>
          <cell r="B34" t="str">
            <v>Insumos textiles adquiridos como materia prima</v>
          </cell>
          <cell r="C34" t="str">
            <v>N</v>
          </cell>
        </row>
        <row r="35">
          <cell r="A35">
            <v>232001</v>
          </cell>
          <cell r="B35" t="str">
            <v>Insumos textiles adquiridos como materia prima</v>
          </cell>
          <cell r="C35" t="str">
            <v>S</v>
          </cell>
        </row>
        <row r="36">
          <cell r="A36">
            <v>233000</v>
          </cell>
          <cell r="B36" t="str">
            <v>Productos de papel, cartón e impresos adquiridos como materia prima</v>
          </cell>
          <cell r="C36" t="str">
            <v>N</v>
          </cell>
        </row>
        <row r="37">
          <cell r="A37">
            <v>233001</v>
          </cell>
          <cell r="B37" t="str">
            <v>Productos de papel, cartón e impresos adquiridos como materia prima</v>
          </cell>
          <cell r="C37" t="str">
            <v>S</v>
          </cell>
        </row>
        <row r="38">
          <cell r="A38">
            <v>234000</v>
          </cell>
          <cell r="B38" t="str">
            <v>Combustibles, lubricantes, aditivos, carbón y sus derivados adquiridos como materia prima</v>
          </cell>
          <cell r="C38" t="str">
            <v>N</v>
          </cell>
        </row>
        <row r="39">
          <cell r="A39">
            <v>234001</v>
          </cell>
          <cell r="B39" t="str">
            <v>Combustibles, lubricantes, aditivos, carbón y sus derivados adquiridos como materia prima</v>
          </cell>
          <cell r="C39" t="str">
            <v>S</v>
          </cell>
        </row>
        <row r="40">
          <cell r="A40">
            <v>235000</v>
          </cell>
          <cell r="B40" t="str">
            <v>Productos químicos, farmacéuticos y de laboratorio adquiridos como materia prima</v>
          </cell>
          <cell r="C40" t="str">
            <v>N</v>
          </cell>
        </row>
        <row r="41">
          <cell r="A41">
            <v>235001</v>
          </cell>
          <cell r="B41" t="str">
            <v>Productos químicos, farmacéuticos y de laboratorio adquiridos como materia prima</v>
          </cell>
          <cell r="C41" t="str">
            <v>S</v>
          </cell>
        </row>
        <row r="42">
          <cell r="A42">
            <v>236000</v>
          </cell>
          <cell r="B42" t="str">
            <v>Productos metálicos y a base de minerales no metálicos adquiridos como materia prima</v>
          </cell>
          <cell r="C42" t="str">
            <v>N</v>
          </cell>
        </row>
        <row r="43">
          <cell r="A43">
            <v>236001</v>
          </cell>
          <cell r="B43" t="str">
            <v>Productos metálicos y a base de minerales no metálicos adquiridos como materia prima</v>
          </cell>
          <cell r="C43" t="str">
            <v>S</v>
          </cell>
        </row>
        <row r="44">
          <cell r="A44">
            <v>237000</v>
          </cell>
          <cell r="B44" t="str">
            <v>Productos de cuero, piel, plástico y hule adquiridos como materia prima</v>
          </cell>
          <cell r="C44" t="str">
            <v>N</v>
          </cell>
        </row>
        <row r="45">
          <cell r="A45">
            <v>237001</v>
          </cell>
          <cell r="B45" t="str">
            <v>Productos de cuero, piel, plástico y hule adquiridos como materia prima</v>
          </cell>
          <cell r="C45" t="str">
            <v>S</v>
          </cell>
        </row>
        <row r="46">
          <cell r="A46">
            <v>238000</v>
          </cell>
          <cell r="B46" t="str">
            <v>Mercancías adquiridas para su comercialización</v>
          </cell>
          <cell r="C46" t="str">
            <v>N</v>
          </cell>
        </row>
        <row r="47">
          <cell r="A47">
            <v>238001</v>
          </cell>
          <cell r="B47" t="str">
            <v>Mercancías adquiridas para su comercialización</v>
          </cell>
          <cell r="C47" t="str">
            <v>S</v>
          </cell>
        </row>
        <row r="48">
          <cell r="A48">
            <v>240000</v>
          </cell>
          <cell r="B48" t="str">
            <v>MATERIALES Y ARTÍCULOS DE CONSTRUCCIÓN Y DE REPARACIÓN</v>
          </cell>
          <cell r="C48" t="str">
            <v>N</v>
          </cell>
        </row>
        <row r="49">
          <cell r="A49">
            <v>241000</v>
          </cell>
          <cell r="B49" t="str">
            <v>Productos minerales no metálicos</v>
          </cell>
          <cell r="C49" t="str">
            <v>N</v>
          </cell>
        </row>
        <row r="50">
          <cell r="A50">
            <v>241001</v>
          </cell>
          <cell r="B50" t="str">
            <v>Productos minerales no metálicos</v>
          </cell>
          <cell r="C50" t="str">
            <v>S</v>
          </cell>
        </row>
        <row r="51">
          <cell r="A51">
            <v>242000</v>
          </cell>
          <cell r="B51" t="str">
            <v>Cemento y productos de concreto</v>
          </cell>
          <cell r="C51" t="str">
            <v>N</v>
          </cell>
        </row>
        <row r="52">
          <cell r="A52">
            <v>242001</v>
          </cell>
          <cell r="B52" t="str">
            <v>Cemento y productos de concreto</v>
          </cell>
          <cell r="C52" t="str">
            <v>S</v>
          </cell>
        </row>
        <row r="53">
          <cell r="A53">
            <v>243000</v>
          </cell>
          <cell r="B53" t="str">
            <v>Cal, yeso y productos de yeso</v>
          </cell>
          <cell r="C53" t="str">
            <v>N</v>
          </cell>
        </row>
        <row r="54">
          <cell r="A54">
            <v>243001</v>
          </cell>
          <cell r="B54" t="str">
            <v>Cal, yeso y productos de yeso</v>
          </cell>
          <cell r="C54" t="str">
            <v>S</v>
          </cell>
        </row>
        <row r="55">
          <cell r="A55">
            <v>244000</v>
          </cell>
          <cell r="B55" t="str">
            <v>Madera y productos de madera</v>
          </cell>
          <cell r="C55" t="str">
            <v>N</v>
          </cell>
        </row>
        <row r="56">
          <cell r="A56">
            <v>244001</v>
          </cell>
          <cell r="B56" t="str">
            <v>Madera y productos de madera</v>
          </cell>
          <cell r="C56" t="str">
            <v>S</v>
          </cell>
        </row>
        <row r="57">
          <cell r="A57">
            <v>245000</v>
          </cell>
          <cell r="B57" t="str">
            <v>Vidrio y productos de vidrio</v>
          </cell>
          <cell r="C57" t="str">
            <v>N</v>
          </cell>
        </row>
        <row r="58">
          <cell r="A58">
            <v>245001</v>
          </cell>
          <cell r="B58" t="str">
            <v>Vidrio y productos de vidrio</v>
          </cell>
          <cell r="C58" t="str">
            <v>S</v>
          </cell>
        </row>
        <row r="59">
          <cell r="A59">
            <v>246000</v>
          </cell>
          <cell r="B59" t="str">
            <v>Material eléctrico y electrónico</v>
          </cell>
          <cell r="C59" t="str">
            <v>N</v>
          </cell>
        </row>
        <row r="60">
          <cell r="A60">
            <v>246001</v>
          </cell>
          <cell r="B60" t="str">
            <v>Material eléctrico</v>
          </cell>
          <cell r="C60" t="str">
            <v>S</v>
          </cell>
        </row>
        <row r="61">
          <cell r="A61">
            <v>246002</v>
          </cell>
          <cell r="B61" t="str">
            <v>Material electrónico</v>
          </cell>
          <cell r="C61" t="str">
            <v>S</v>
          </cell>
        </row>
        <row r="62">
          <cell r="A62">
            <v>247000</v>
          </cell>
          <cell r="B62" t="str">
            <v>Artículos metálicos para la construcción</v>
          </cell>
          <cell r="C62" t="str">
            <v>N</v>
          </cell>
        </row>
        <row r="63">
          <cell r="A63">
            <v>247001</v>
          </cell>
          <cell r="B63" t="str">
            <v>Artículos metálicos para la construcción</v>
          </cell>
          <cell r="C63" t="str">
            <v>S</v>
          </cell>
        </row>
        <row r="64">
          <cell r="A64">
            <v>248000</v>
          </cell>
          <cell r="B64" t="str">
            <v>Materiales complementarios</v>
          </cell>
          <cell r="C64" t="str">
            <v>N</v>
          </cell>
        </row>
        <row r="65">
          <cell r="A65">
            <v>248001</v>
          </cell>
          <cell r="B65" t="str">
            <v>Materiales complementarios</v>
          </cell>
          <cell r="C65" t="str">
            <v>S</v>
          </cell>
        </row>
        <row r="66">
          <cell r="A66">
            <v>249000</v>
          </cell>
          <cell r="B66" t="str">
            <v>Otros materiales y artículos de construcción y reparación</v>
          </cell>
          <cell r="C66" t="str">
            <v>N</v>
          </cell>
        </row>
        <row r="67">
          <cell r="A67">
            <v>249001</v>
          </cell>
          <cell r="B67" t="str">
            <v>Materiales de construcción y complementarios</v>
          </cell>
          <cell r="C67" t="str">
            <v>S</v>
          </cell>
        </row>
        <row r="68">
          <cell r="A68">
            <v>249002</v>
          </cell>
          <cell r="B68" t="str">
            <v>Otros materiales de construcción y reparación</v>
          </cell>
          <cell r="C68" t="str">
            <v>S</v>
          </cell>
        </row>
        <row r="69">
          <cell r="A69">
            <v>250000</v>
          </cell>
          <cell r="B69" t="str">
            <v>PRODUCTOS QUÍMICOS, FARMACÉUTICOS Y DE LABORATORIO</v>
          </cell>
          <cell r="C69" t="str">
            <v>N</v>
          </cell>
        </row>
        <row r="70">
          <cell r="A70">
            <v>251000</v>
          </cell>
          <cell r="B70" t="str">
            <v>Productos químicos básicos</v>
          </cell>
          <cell r="C70" t="str">
            <v>N</v>
          </cell>
        </row>
        <row r="71">
          <cell r="A71">
            <v>251001</v>
          </cell>
          <cell r="B71" t="str">
            <v>Gas Refrigerante</v>
          </cell>
          <cell r="C71" t="str">
            <v>S</v>
          </cell>
        </row>
        <row r="72">
          <cell r="A72">
            <v>252000</v>
          </cell>
          <cell r="B72" t="str">
            <v>Fertilizantes, pesticidas y otros agroquímicos</v>
          </cell>
          <cell r="C72" t="str">
            <v>N</v>
          </cell>
        </row>
        <row r="73">
          <cell r="A73">
            <v>252001</v>
          </cell>
          <cell r="B73" t="str">
            <v>Fertilizantes, pesticidas y otros agroquímicos</v>
          </cell>
          <cell r="C73" t="str">
            <v>S</v>
          </cell>
        </row>
        <row r="74">
          <cell r="A74">
            <v>253000</v>
          </cell>
          <cell r="B74" t="str">
            <v>Medicinas y productos químicos, farmacéuticos</v>
          </cell>
          <cell r="C74" t="str">
            <v>N</v>
          </cell>
        </row>
        <row r="75">
          <cell r="A75">
            <v>253001</v>
          </cell>
          <cell r="B75" t="str">
            <v>Material y productos químicos, farmacéuticos</v>
          </cell>
          <cell r="C75" t="str">
            <v>S</v>
          </cell>
        </row>
        <row r="76">
          <cell r="A76">
            <v>254000</v>
          </cell>
          <cell r="B76" t="str">
            <v>Materiales, accesorios y suministros médicos</v>
          </cell>
          <cell r="C76" t="str">
            <v>N</v>
          </cell>
        </row>
        <row r="77">
          <cell r="A77">
            <v>254001</v>
          </cell>
          <cell r="B77" t="str">
            <v>Materiales, accesorios y suministros médicos</v>
          </cell>
          <cell r="C77" t="str">
            <v>S</v>
          </cell>
        </row>
        <row r="78">
          <cell r="A78">
            <v>255000</v>
          </cell>
          <cell r="B78" t="str">
            <v>Materiales, accesorios y suministros de laboratorio</v>
          </cell>
          <cell r="C78" t="str">
            <v>N</v>
          </cell>
        </row>
        <row r="79">
          <cell r="A79">
            <v>255001</v>
          </cell>
          <cell r="B79" t="str">
            <v>Materiales, accesorios y suministros de laboratorio</v>
          </cell>
          <cell r="C79" t="str">
            <v>S</v>
          </cell>
        </row>
        <row r="80">
          <cell r="A80">
            <v>256000</v>
          </cell>
          <cell r="B80" t="str">
            <v>Fibras sintéticas, hules, plásticos y derivados</v>
          </cell>
          <cell r="C80" t="str">
            <v>N</v>
          </cell>
        </row>
        <row r="81">
          <cell r="A81">
            <v>256001</v>
          </cell>
          <cell r="B81" t="str">
            <v>Fibras sintéticas, hules, plásticos y derivados</v>
          </cell>
          <cell r="C81" t="str">
            <v>S</v>
          </cell>
        </row>
        <row r="82">
          <cell r="A82">
            <v>259000</v>
          </cell>
          <cell r="B82" t="str">
            <v>Otros productos químicos</v>
          </cell>
          <cell r="C82" t="str">
            <v>N</v>
          </cell>
        </row>
        <row r="83">
          <cell r="A83">
            <v>259001</v>
          </cell>
          <cell r="B83" t="str">
            <v>Otros productos químicos</v>
          </cell>
          <cell r="C83" t="str">
            <v>S</v>
          </cell>
        </row>
        <row r="84">
          <cell r="A84">
            <v>260000</v>
          </cell>
          <cell r="B84" t="str">
            <v>COMBUSTIBLES, LUBRICANTES Y ADITIVOS</v>
          </cell>
          <cell r="C84" t="str">
            <v>N</v>
          </cell>
        </row>
        <row r="85">
          <cell r="A85">
            <v>261000</v>
          </cell>
          <cell r="B85" t="str">
            <v>Combustibles, lubricantes y aditivos</v>
          </cell>
          <cell r="C85" t="str">
            <v>N</v>
          </cell>
        </row>
        <row r="86">
          <cell r="A86">
            <v>261001</v>
          </cell>
          <cell r="B86" t="str">
            <v>Combustibles</v>
          </cell>
          <cell r="C86" t="str">
            <v>S</v>
          </cell>
        </row>
        <row r="87">
          <cell r="A87">
            <v>261002</v>
          </cell>
          <cell r="B87" t="str">
            <v>Lubricantes y aditivos</v>
          </cell>
          <cell r="C87" t="str">
            <v>S</v>
          </cell>
        </row>
        <row r="88">
          <cell r="A88">
            <v>262000</v>
          </cell>
          <cell r="B88" t="str">
            <v>Carbón y sus derivados</v>
          </cell>
          <cell r="C88" t="str">
            <v>N</v>
          </cell>
        </row>
        <row r="89">
          <cell r="A89">
            <v>262001</v>
          </cell>
          <cell r="B89" t="str">
            <v>Carbón y sus derivados</v>
          </cell>
          <cell r="C89" t="str">
            <v>S</v>
          </cell>
        </row>
        <row r="90">
          <cell r="A90">
            <v>270000</v>
          </cell>
          <cell r="B90" t="str">
            <v>VESTUARIO, BLANCOS, PRENDAS DE PROTECCIÓN Y ARTÍCULOS DEPORTIVOS</v>
          </cell>
          <cell r="C90" t="str">
            <v>N</v>
          </cell>
        </row>
        <row r="91">
          <cell r="A91">
            <v>271000</v>
          </cell>
          <cell r="B91" t="str">
            <v>Vestuario y uniformes</v>
          </cell>
          <cell r="C91" t="str">
            <v>N</v>
          </cell>
        </row>
        <row r="92">
          <cell r="A92">
            <v>271001</v>
          </cell>
          <cell r="B92" t="str">
            <v>Ropa, vestuario y equipo</v>
          </cell>
          <cell r="C92" t="str">
            <v>S</v>
          </cell>
        </row>
        <row r="93">
          <cell r="A93">
            <v>272000</v>
          </cell>
          <cell r="B93" t="str">
            <v>Prendas de seguridad y protección personal</v>
          </cell>
          <cell r="C93" t="str">
            <v>N</v>
          </cell>
        </row>
        <row r="94">
          <cell r="A94">
            <v>272001</v>
          </cell>
          <cell r="B94" t="str">
            <v>Materiales explosivos y de seguridad pública</v>
          </cell>
          <cell r="C94" t="str">
            <v>S</v>
          </cell>
        </row>
        <row r="95">
          <cell r="A95">
            <v>272002</v>
          </cell>
          <cell r="B95" t="str">
            <v>Prendas de seguridad y protección personal</v>
          </cell>
          <cell r="C95" t="str">
            <v>S</v>
          </cell>
        </row>
        <row r="96">
          <cell r="A96">
            <v>273000</v>
          </cell>
          <cell r="B96" t="str">
            <v>Artículos deportivos</v>
          </cell>
          <cell r="C96" t="str">
            <v>N</v>
          </cell>
        </row>
        <row r="97">
          <cell r="A97">
            <v>273001</v>
          </cell>
          <cell r="B97" t="str">
            <v>Artículos deportivos</v>
          </cell>
          <cell r="C97" t="str">
            <v>S</v>
          </cell>
        </row>
        <row r="98">
          <cell r="A98">
            <v>274000</v>
          </cell>
          <cell r="B98" t="str">
            <v>Productos textiles</v>
          </cell>
          <cell r="C98" t="str">
            <v>N</v>
          </cell>
        </row>
        <row r="99">
          <cell r="A99">
            <v>274001</v>
          </cell>
          <cell r="B99" t="str">
            <v>Productos textiles</v>
          </cell>
          <cell r="C99" t="str">
            <v>S</v>
          </cell>
        </row>
        <row r="100">
          <cell r="A100">
            <v>275000</v>
          </cell>
          <cell r="B100" t="str">
            <v>Blancos y otros productos textiles, excepto prendas de vestir</v>
          </cell>
          <cell r="C100" t="str">
            <v>N</v>
          </cell>
        </row>
        <row r="101">
          <cell r="A101">
            <v>275001</v>
          </cell>
          <cell r="B101" t="str">
            <v>Blancos y otros productos textiles, excepto prendas de vestir</v>
          </cell>
          <cell r="C101" t="str">
            <v>S</v>
          </cell>
        </row>
        <row r="102">
          <cell r="A102">
            <v>280000</v>
          </cell>
          <cell r="B102" t="str">
            <v>MATERIALES Y SUMINISTROS PARA SEGURIDAD</v>
          </cell>
          <cell r="C102" t="str">
            <v>N</v>
          </cell>
        </row>
        <row r="103">
          <cell r="A103">
            <v>281000</v>
          </cell>
          <cell r="B103" t="str">
            <v>Sustancias y materiales explosivos</v>
          </cell>
          <cell r="C103" t="str">
            <v>N</v>
          </cell>
        </row>
        <row r="104">
          <cell r="A104">
            <v>281001</v>
          </cell>
          <cell r="B104" t="str">
            <v>Sustancias y materiales explosivos</v>
          </cell>
          <cell r="C104" t="str">
            <v>S</v>
          </cell>
        </row>
        <row r="105">
          <cell r="A105">
            <v>282000</v>
          </cell>
          <cell r="B105" t="str">
            <v>Materiales de seguridad pública</v>
          </cell>
          <cell r="C105" t="str">
            <v>N</v>
          </cell>
        </row>
        <row r="106">
          <cell r="A106">
            <v>282001</v>
          </cell>
          <cell r="B106" t="str">
            <v>Materiales de seguridad pública</v>
          </cell>
          <cell r="C106" t="str">
            <v>S</v>
          </cell>
        </row>
        <row r="107">
          <cell r="A107">
            <v>283000</v>
          </cell>
          <cell r="B107" t="str">
            <v>Prendas de protección para seguridad pública y nacional</v>
          </cell>
          <cell r="C107" t="str">
            <v>N</v>
          </cell>
        </row>
        <row r="108">
          <cell r="A108">
            <v>283001</v>
          </cell>
          <cell r="B108" t="str">
            <v>Prendas de protección para seguridad pública</v>
          </cell>
          <cell r="C108" t="str">
            <v>S</v>
          </cell>
        </row>
        <row r="109">
          <cell r="A109">
            <v>290000</v>
          </cell>
          <cell r="B109" t="str">
            <v>HERRAMIENTAS, REFACCIONES Y ACCESORIOS MENORES</v>
          </cell>
          <cell r="C109" t="str">
            <v>N</v>
          </cell>
        </row>
        <row r="110">
          <cell r="A110">
            <v>291000</v>
          </cell>
          <cell r="B110" t="str">
            <v>Herramientas menores</v>
          </cell>
          <cell r="C110" t="str">
            <v>N</v>
          </cell>
        </row>
        <row r="111">
          <cell r="A111">
            <v>291001</v>
          </cell>
          <cell r="B111" t="str">
            <v>Herramientas Auxiliares de Trabajo</v>
          </cell>
          <cell r="C111" t="str">
            <v>S</v>
          </cell>
        </row>
        <row r="112">
          <cell r="A112">
            <v>292000</v>
          </cell>
          <cell r="B112" t="str">
            <v>Refacciones y accesorios menores de edificios</v>
          </cell>
          <cell r="C112" t="str">
            <v>N</v>
          </cell>
        </row>
        <row r="113">
          <cell r="A113">
            <v>292001</v>
          </cell>
          <cell r="B113" t="str">
            <v>Refacciones y accesorios menores de edificios (candados, cerraduras, chapas, llaves)</v>
          </cell>
          <cell r="C113" t="str">
            <v>S</v>
          </cell>
        </row>
        <row r="114">
          <cell r="A114">
            <v>293000</v>
          </cell>
          <cell r="B114" t="str">
            <v>Refacciones y accesorios menores de mobiliario y equipo de administración, educacional y recreativo</v>
          </cell>
          <cell r="C114" t="str">
            <v>N</v>
          </cell>
        </row>
        <row r="115">
          <cell r="A115">
            <v>293001</v>
          </cell>
          <cell r="B115" t="str">
            <v>Refacciones y accesorios menores de mobiliario y equipo de administración, educacional y recreativo</v>
          </cell>
          <cell r="C115" t="str">
            <v>S</v>
          </cell>
        </row>
        <row r="116">
          <cell r="A116">
            <v>294000</v>
          </cell>
          <cell r="B116" t="str">
            <v>Refacciones y accesorios menores de equipo de cómputo y tecnologías de la información</v>
          </cell>
          <cell r="C116" t="str">
            <v>N</v>
          </cell>
        </row>
        <row r="117">
          <cell r="A117">
            <v>294001</v>
          </cell>
          <cell r="B117" t="str">
            <v>Dispositivos Internos y Externos de Equipo de Computo</v>
          </cell>
          <cell r="C117" t="str">
            <v>S</v>
          </cell>
        </row>
        <row r="118">
          <cell r="A118">
            <v>294002</v>
          </cell>
          <cell r="B118" t="str">
            <v>Refacciones y Accesorios Menores de Equipo de Computo</v>
          </cell>
          <cell r="C118" t="str">
            <v>S</v>
          </cell>
        </row>
        <row r="119">
          <cell r="A119">
            <v>295000</v>
          </cell>
          <cell r="B119" t="str">
            <v>Refacciones y accesorios menores de equipo e instrumental médico y de laboratorio</v>
          </cell>
          <cell r="C119" t="str">
            <v>N</v>
          </cell>
        </row>
        <row r="120">
          <cell r="A120">
            <v>295001</v>
          </cell>
          <cell r="B120" t="str">
            <v>Refacciones y accesorios menores de equipo e instrumental médico y de laboratorio</v>
          </cell>
          <cell r="C120" t="str">
            <v>S</v>
          </cell>
        </row>
        <row r="121">
          <cell r="A121">
            <v>296000</v>
          </cell>
          <cell r="B121" t="str">
            <v>Refacciones y accesorios menores de equipo de transporte</v>
          </cell>
          <cell r="C121" t="str">
            <v>N</v>
          </cell>
        </row>
        <row r="122">
          <cell r="A122">
            <v>296001</v>
          </cell>
          <cell r="B122" t="str">
            <v>Herramientas, refacciones y accesorios</v>
          </cell>
          <cell r="C122" t="str">
            <v>S</v>
          </cell>
        </row>
        <row r="123">
          <cell r="A123">
            <v>297000</v>
          </cell>
          <cell r="B123" t="str">
            <v>Refacciones y accesorios menores de equipo de defensa y seguridad</v>
          </cell>
          <cell r="C123" t="str">
            <v>N</v>
          </cell>
        </row>
        <row r="124">
          <cell r="A124">
            <v>297001</v>
          </cell>
          <cell r="B124" t="str">
            <v>Refacciones y accesorios menores de equipo de defensa y seguridad</v>
          </cell>
          <cell r="C124" t="str">
            <v>S</v>
          </cell>
        </row>
        <row r="125">
          <cell r="A125">
            <v>298000</v>
          </cell>
          <cell r="B125" t="str">
            <v>Refacciones y accesorios menores de maquinaria y otros equipos</v>
          </cell>
          <cell r="C125" t="str">
            <v>N</v>
          </cell>
        </row>
        <row r="126">
          <cell r="A126">
            <v>298001</v>
          </cell>
          <cell r="B126" t="str">
            <v>Refacciones y accesorios menores de maquinaria y otros equipos</v>
          </cell>
          <cell r="C126" t="str">
            <v>S</v>
          </cell>
        </row>
        <row r="127">
          <cell r="A127">
            <v>299000</v>
          </cell>
          <cell r="B127" t="str">
            <v>Refacciones y accesorios menores otros bienes muebles</v>
          </cell>
          <cell r="C127" t="str">
            <v>N</v>
          </cell>
        </row>
        <row r="128">
          <cell r="A128">
            <v>299001</v>
          </cell>
          <cell r="B128" t="str">
            <v>Refacciones y accesorios menores otros bienes muebles</v>
          </cell>
          <cell r="C128" t="str">
            <v>S</v>
          </cell>
        </row>
        <row r="129">
          <cell r="A129">
            <v>300000</v>
          </cell>
          <cell r="B129" t="str">
            <v>SERVICIOS GENERALES</v>
          </cell>
          <cell r="C129" t="str">
            <v>N</v>
          </cell>
        </row>
        <row r="130">
          <cell r="A130">
            <v>310000</v>
          </cell>
          <cell r="B130" t="str">
            <v>SERVICIOS BÁSICOS</v>
          </cell>
          <cell r="C130" t="str">
            <v>N</v>
          </cell>
        </row>
        <row r="131">
          <cell r="A131">
            <v>311000</v>
          </cell>
          <cell r="B131" t="str">
            <v>Energía eléctrica</v>
          </cell>
          <cell r="C131" t="str">
            <v>N</v>
          </cell>
        </row>
        <row r="132">
          <cell r="A132">
            <v>311001</v>
          </cell>
          <cell r="B132" t="str">
            <v>Servicio de energía eléctrica</v>
          </cell>
          <cell r="C132" t="str">
            <v>S</v>
          </cell>
        </row>
        <row r="133">
          <cell r="A133">
            <v>311002</v>
          </cell>
          <cell r="B133" t="str">
            <v>Contratación del servicio de energía eléctrica</v>
          </cell>
          <cell r="C133" t="str">
            <v>S</v>
          </cell>
        </row>
        <row r="134">
          <cell r="A134">
            <v>312000</v>
          </cell>
          <cell r="B134" t="str">
            <v>Gas</v>
          </cell>
          <cell r="C134" t="str">
            <v>N</v>
          </cell>
        </row>
        <row r="135">
          <cell r="A135">
            <v>312001</v>
          </cell>
          <cell r="B135" t="str">
            <v>Servicio de Gas L.P.</v>
          </cell>
          <cell r="C135" t="str">
            <v>S</v>
          </cell>
        </row>
        <row r="136">
          <cell r="A136">
            <v>313000</v>
          </cell>
          <cell r="B136" t="str">
            <v>Agua</v>
          </cell>
          <cell r="C136" t="str">
            <v>N</v>
          </cell>
        </row>
        <row r="137">
          <cell r="A137">
            <v>313001</v>
          </cell>
          <cell r="B137" t="str">
            <v>Servicio de agua potable</v>
          </cell>
          <cell r="C137" t="str">
            <v>S</v>
          </cell>
        </row>
        <row r="138">
          <cell r="A138">
            <v>313002</v>
          </cell>
          <cell r="B138" t="str">
            <v>Contratación del servicio de agua potable</v>
          </cell>
          <cell r="C138" t="str">
            <v>S</v>
          </cell>
        </row>
        <row r="139">
          <cell r="A139">
            <v>314000</v>
          </cell>
          <cell r="B139" t="str">
            <v>Telefonía tradicional</v>
          </cell>
          <cell r="C139" t="str">
            <v>N</v>
          </cell>
        </row>
        <row r="140">
          <cell r="A140">
            <v>314001</v>
          </cell>
          <cell r="B140" t="str">
            <v>Servicio telefónico</v>
          </cell>
          <cell r="C140" t="str">
            <v>S</v>
          </cell>
        </row>
        <row r="141">
          <cell r="A141">
            <v>315000</v>
          </cell>
          <cell r="B141" t="str">
            <v>Telefonía celular</v>
          </cell>
          <cell r="C141" t="str">
            <v>N</v>
          </cell>
        </row>
        <row r="142">
          <cell r="A142">
            <v>315001</v>
          </cell>
          <cell r="B142" t="str">
            <v>Telefonía celular</v>
          </cell>
          <cell r="C142" t="str">
            <v>S</v>
          </cell>
        </row>
        <row r="143">
          <cell r="A143">
            <v>316000</v>
          </cell>
          <cell r="B143" t="str">
            <v>Servicios de telecomunicaciones y satélites</v>
          </cell>
          <cell r="C143" t="str">
            <v>N</v>
          </cell>
        </row>
        <row r="144">
          <cell r="A144">
            <v>316001</v>
          </cell>
          <cell r="B144" t="str">
            <v>Servicios de telecomunicaciones y satélites</v>
          </cell>
          <cell r="C144" t="str">
            <v>S</v>
          </cell>
        </row>
        <row r="145">
          <cell r="A145">
            <v>317000</v>
          </cell>
          <cell r="B145" t="str">
            <v>Servicios de acceso de Internet, redes y procesamiento de información</v>
          </cell>
          <cell r="C145" t="str">
            <v>N</v>
          </cell>
        </row>
        <row r="146">
          <cell r="A146">
            <v>317001</v>
          </cell>
          <cell r="B146" t="str">
            <v>Servicios de acceso de Internet, redes y procesamiento de información</v>
          </cell>
          <cell r="C146" t="str">
            <v>S</v>
          </cell>
        </row>
        <row r="147">
          <cell r="A147">
            <v>318000</v>
          </cell>
          <cell r="B147" t="str">
            <v>Servicios postales y telegráficos</v>
          </cell>
          <cell r="C147" t="str">
            <v>N</v>
          </cell>
        </row>
        <row r="148">
          <cell r="A148">
            <v>318001</v>
          </cell>
          <cell r="B148" t="str">
            <v>Servicio postal y telegráfico</v>
          </cell>
          <cell r="C148" t="str">
            <v>S</v>
          </cell>
        </row>
        <row r="149">
          <cell r="A149">
            <v>319000</v>
          </cell>
          <cell r="B149" t="str">
            <v>Servicios integrales y otros servicios</v>
          </cell>
          <cell r="C149" t="str">
            <v>N</v>
          </cell>
        </row>
        <row r="150">
          <cell r="A150">
            <v>319001</v>
          </cell>
          <cell r="B150" t="str">
            <v>Servicios Integrales</v>
          </cell>
          <cell r="C150" t="str">
            <v>S</v>
          </cell>
        </row>
        <row r="151">
          <cell r="A151">
            <v>320000</v>
          </cell>
          <cell r="B151" t="str">
            <v>SERVICIOS DE ARRENDAMIENTO</v>
          </cell>
          <cell r="C151" t="str">
            <v>N</v>
          </cell>
        </row>
        <row r="152">
          <cell r="A152">
            <v>321000</v>
          </cell>
          <cell r="B152" t="str">
            <v>Arrendamiento de terrenos</v>
          </cell>
          <cell r="C152" t="str">
            <v>N</v>
          </cell>
        </row>
        <row r="153">
          <cell r="A153">
            <v>321001</v>
          </cell>
          <cell r="B153" t="str">
            <v>Arrendamiento de terrenos</v>
          </cell>
          <cell r="C153" t="str">
            <v>S</v>
          </cell>
        </row>
        <row r="154">
          <cell r="A154">
            <v>322000</v>
          </cell>
          <cell r="B154" t="str">
            <v>Arrendamiento de edificios</v>
          </cell>
          <cell r="C154" t="str">
            <v>N</v>
          </cell>
        </row>
        <row r="155">
          <cell r="A155">
            <v>322001</v>
          </cell>
          <cell r="B155" t="str">
            <v>Arrendamiento de edificios</v>
          </cell>
          <cell r="C155" t="str">
            <v>S</v>
          </cell>
        </row>
        <row r="156">
          <cell r="A156">
            <v>323000</v>
          </cell>
          <cell r="B156" t="str">
            <v>Arrendamiento de mobiliario y equipo de administración, educacional y recreativo</v>
          </cell>
          <cell r="C156" t="str">
            <v>N</v>
          </cell>
        </row>
        <row r="157">
          <cell r="A157">
            <v>323001</v>
          </cell>
          <cell r="B157" t="str">
            <v>Arrendamiento de maquinaria y equipo</v>
          </cell>
          <cell r="C157" t="str">
            <v>S</v>
          </cell>
        </row>
        <row r="158">
          <cell r="A158">
            <v>323002</v>
          </cell>
          <cell r="B158" t="str">
            <v>Arrendamiento de maquinaria y equipo de Administración</v>
          </cell>
          <cell r="C158" t="str">
            <v>S</v>
          </cell>
        </row>
        <row r="159">
          <cell r="A159">
            <v>323003</v>
          </cell>
          <cell r="B159" t="str">
            <v>Arrendamiento de Equipo Educacional y Recreativo</v>
          </cell>
          <cell r="C159" t="str">
            <v>S</v>
          </cell>
        </row>
        <row r="160">
          <cell r="A160">
            <v>323004</v>
          </cell>
          <cell r="B160" t="str">
            <v>Arrendamiento de Mobiliario y Equipo</v>
          </cell>
          <cell r="C160" t="str">
            <v>S</v>
          </cell>
        </row>
        <row r="161">
          <cell r="A161">
            <v>324000</v>
          </cell>
          <cell r="B161" t="str">
            <v>Arrendamiento de equipo e instrumental médico y de laboratorio</v>
          </cell>
          <cell r="C161" t="str">
            <v>N</v>
          </cell>
        </row>
        <row r="162">
          <cell r="A162">
            <v>324001</v>
          </cell>
          <cell r="B162" t="str">
            <v>Arrendamiento de equipo e instrumental médico y de laboratorio</v>
          </cell>
          <cell r="C162" t="str">
            <v>S</v>
          </cell>
        </row>
        <row r="163">
          <cell r="A163">
            <v>325000</v>
          </cell>
          <cell r="B163" t="str">
            <v>Arrendamiento de equipo de transporte</v>
          </cell>
          <cell r="C163" t="str">
            <v>N</v>
          </cell>
        </row>
        <row r="164">
          <cell r="A164">
            <v>325001</v>
          </cell>
          <cell r="B164" t="str">
            <v>Arrendamiento de equipo de transporte</v>
          </cell>
          <cell r="C164" t="str">
            <v>S</v>
          </cell>
        </row>
        <row r="165">
          <cell r="A165">
            <v>326000</v>
          </cell>
          <cell r="B165" t="str">
            <v>Arrendamiento de maquinaria, otros equipos y herramientas</v>
          </cell>
          <cell r="C165" t="str">
            <v>N</v>
          </cell>
        </row>
        <row r="166">
          <cell r="A166">
            <v>326001</v>
          </cell>
          <cell r="B166" t="str">
            <v>Arrendamiento de maquinaria, otros equipos y herramientas</v>
          </cell>
          <cell r="C166" t="str">
            <v>S</v>
          </cell>
        </row>
        <row r="167">
          <cell r="A167">
            <v>327000</v>
          </cell>
          <cell r="B167" t="str">
            <v>Arrendamiento de activos intangibles</v>
          </cell>
          <cell r="C167" t="str">
            <v>N</v>
          </cell>
        </row>
        <row r="168">
          <cell r="A168">
            <v>327001</v>
          </cell>
          <cell r="B168" t="str">
            <v>Arrendamiento de activos intangibles</v>
          </cell>
          <cell r="C168" t="str">
            <v>S</v>
          </cell>
        </row>
        <row r="169">
          <cell r="A169">
            <v>328000</v>
          </cell>
          <cell r="B169" t="str">
            <v>Arrendamiento financiero</v>
          </cell>
          <cell r="C169" t="str">
            <v>N</v>
          </cell>
        </row>
        <row r="170">
          <cell r="A170">
            <v>328001</v>
          </cell>
          <cell r="B170" t="str">
            <v>Arrendamiento financiero</v>
          </cell>
          <cell r="C170" t="str">
            <v>S</v>
          </cell>
        </row>
        <row r="171">
          <cell r="A171">
            <v>328002</v>
          </cell>
          <cell r="B171" t="str">
            <v>Programa Estatal de Arrendamiento Vehicular</v>
          </cell>
          <cell r="C171" t="str">
            <v>S</v>
          </cell>
        </row>
        <row r="172">
          <cell r="A172">
            <v>329000</v>
          </cell>
          <cell r="B172" t="str">
            <v>Otros arrendamientos</v>
          </cell>
          <cell r="C172" t="str">
            <v>N</v>
          </cell>
        </row>
        <row r="173">
          <cell r="A173">
            <v>329001</v>
          </cell>
          <cell r="B173" t="str">
            <v>Arrendamientos especiales</v>
          </cell>
          <cell r="C173" t="str">
            <v>S</v>
          </cell>
        </row>
        <row r="174">
          <cell r="A174">
            <v>330000</v>
          </cell>
          <cell r="B174" t="str">
            <v>SERVICIOS PROFESIONALES, CIENTÍFICOS, TÉCNICOS Y OTROS SERVICIOS</v>
          </cell>
          <cell r="C174" t="str">
            <v>N</v>
          </cell>
        </row>
        <row r="175">
          <cell r="A175">
            <v>331000</v>
          </cell>
          <cell r="B175" t="str">
            <v>Servicios legales, de contabilidad, auditoría y relacionados</v>
          </cell>
          <cell r="C175" t="str">
            <v>N</v>
          </cell>
        </row>
        <row r="176">
          <cell r="A176">
            <v>331001</v>
          </cell>
          <cell r="B176" t="str">
            <v>Asesorías</v>
          </cell>
          <cell r="C176" t="str">
            <v>S</v>
          </cell>
        </row>
        <row r="177">
          <cell r="A177">
            <v>331002</v>
          </cell>
          <cell r="B177" t="str">
            <v>Servicios Notariales</v>
          </cell>
          <cell r="C177" t="str">
            <v>S</v>
          </cell>
        </row>
        <row r="178">
          <cell r="A178">
            <v>331003</v>
          </cell>
          <cell r="B178" t="str">
            <v>Consultoría y Gestión</v>
          </cell>
          <cell r="C178" t="str">
            <v>S</v>
          </cell>
        </row>
        <row r="179">
          <cell r="A179">
            <v>332000</v>
          </cell>
          <cell r="B179" t="str">
            <v>Servicios de diseño, arquitectura, ingeniería y actividades relacionadas</v>
          </cell>
          <cell r="C179" t="str">
            <v>N</v>
          </cell>
        </row>
        <row r="180">
          <cell r="A180">
            <v>332001</v>
          </cell>
          <cell r="B180" t="str">
            <v>Servicios de diseño, arquitectura, ingeniería y actividades relacionadas</v>
          </cell>
          <cell r="C180" t="str">
            <v>S</v>
          </cell>
        </row>
        <row r="181">
          <cell r="A181">
            <v>333000</v>
          </cell>
          <cell r="B181" t="str">
            <v>Servicios de consultoría administrativa, procesos, técnica y en tecnologías de la información</v>
          </cell>
          <cell r="C181" t="str">
            <v>N</v>
          </cell>
        </row>
        <row r="182">
          <cell r="A182">
            <v>333001</v>
          </cell>
          <cell r="B182" t="str">
            <v>Estudios e investigaciones</v>
          </cell>
          <cell r="C182" t="str">
            <v>S</v>
          </cell>
        </row>
        <row r="183">
          <cell r="A183">
            <v>333002</v>
          </cell>
          <cell r="B183" t="str">
            <v>Sistematización de la Armonización Contable y Presupuestal</v>
          </cell>
          <cell r="C183" t="str">
            <v>S</v>
          </cell>
        </row>
        <row r="184">
          <cell r="A184">
            <v>333003</v>
          </cell>
          <cell r="B184" t="str">
            <v>Servicios de consultoría administrativa, procesos, técnica y en tecnologías de la información</v>
          </cell>
          <cell r="C184" t="str">
            <v>S</v>
          </cell>
        </row>
        <row r="185">
          <cell r="A185">
            <v>334000</v>
          </cell>
          <cell r="B185" t="str">
            <v>Servicios de capacitación</v>
          </cell>
          <cell r="C185" t="str">
            <v>N</v>
          </cell>
        </row>
        <row r="186">
          <cell r="A186">
            <v>334001</v>
          </cell>
          <cell r="B186" t="str">
            <v>Cuotas e inscripciones</v>
          </cell>
          <cell r="C186" t="str">
            <v>S</v>
          </cell>
        </row>
        <row r="187">
          <cell r="A187">
            <v>334002</v>
          </cell>
          <cell r="B187" t="str">
            <v>Servicios de Capacitación</v>
          </cell>
          <cell r="C187" t="str">
            <v>S</v>
          </cell>
        </row>
        <row r="188">
          <cell r="A188">
            <v>335000</v>
          </cell>
          <cell r="B188" t="str">
            <v>Servicios de investigación científica y desarrollo</v>
          </cell>
          <cell r="C188" t="str">
            <v>N</v>
          </cell>
        </row>
        <row r="189">
          <cell r="A189">
            <v>335001</v>
          </cell>
          <cell r="B189" t="str">
            <v>Servicios de investigación científica y desarrollo</v>
          </cell>
          <cell r="C189" t="str">
            <v>S</v>
          </cell>
        </row>
        <row r="190">
          <cell r="A190">
            <v>336000</v>
          </cell>
          <cell r="B190" t="str">
            <v>Servicios de apoyo administrativo, traducción, fotocopiado e impresión</v>
          </cell>
          <cell r="C190" t="str">
            <v>N</v>
          </cell>
        </row>
        <row r="191">
          <cell r="A191">
            <v>336001</v>
          </cell>
          <cell r="B191" t="str">
            <v>Servicio de Fotocopiado, Enmicado y Encuadernación de Documentos.</v>
          </cell>
          <cell r="C191" t="str">
            <v>S</v>
          </cell>
        </row>
        <row r="192">
          <cell r="A192">
            <v>336002</v>
          </cell>
          <cell r="B192" t="str">
            <v>Servicio de Impresión y Elaboración de Material Informativo</v>
          </cell>
          <cell r="C192" t="str">
            <v>S</v>
          </cell>
        </row>
        <row r="193">
          <cell r="A193">
            <v>337000</v>
          </cell>
          <cell r="B193" t="str">
            <v>Servicios de protección y seguridad</v>
          </cell>
          <cell r="C193" t="str">
            <v>N</v>
          </cell>
        </row>
        <row r="194">
          <cell r="A194">
            <v>337001</v>
          </cell>
          <cell r="B194" t="str">
            <v>Dispositivo de seguridad pública</v>
          </cell>
          <cell r="C194" t="str">
            <v>S</v>
          </cell>
        </row>
        <row r="195">
          <cell r="A195">
            <v>338000</v>
          </cell>
          <cell r="B195" t="str">
            <v>Servicios de vigilancia</v>
          </cell>
          <cell r="C195" t="str">
            <v>N</v>
          </cell>
        </row>
        <row r="196">
          <cell r="A196">
            <v>338001</v>
          </cell>
          <cell r="B196" t="str">
            <v>Servicio de seguridad privada</v>
          </cell>
          <cell r="C196" t="str">
            <v>S</v>
          </cell>
        </row>
        <row r="197">
          <cell r="A197">
            <v>339000</v>
          </cell>
          <cell r="B197" t="str">
            <v>Servicios profesionales, científicos y técnicos integrales</v>
          </cell>
          <cell r="C197" t="str">
            <v>N</v>
          </cell>
        </row>
        <row r="198">
          <cell r="A198">
            <v>339001</v>
          </cell>
          <cell r="B198" t="str">
            <v>Servicios profesionales, científicos y técnicos integrales</v>
          </cell>
          <cell r="C198" t="str">
            <v>S</v>
          </cell>
        </row>
        <row r="199">
          <cell r="A199">
            <v>340000</v>
          </cell>
          <cell r="B199" t="str">
            <v>SERVICIOS FINANCIEROS, BANCARIOS Y COMERCIALES</v>
          </cell>
          <cell r="C199" t="str">
            <v>N</v>
          </cell>
        </row>
        <row r="200">
          <cell r="A200">
            <v>341000</v>
          </cell>
          <cell r="B200" t="str">
            <v>Servicios financieros y bancarios</v>
          </cell>
          <cell r="C200" t="str">
            <v>N</v>
          </cell>
        </row>
        <row r="201">
          <cell r="A201">
            <v>341001</v>
          </cell>
          <cell r="B201" t="str">
            <v>Comisiones, descuentos y otros servicios bancarios</v>
          </cell>
          <cell r="C201" t="str">
            <v>S</v>
          </cell>
        </row>
        <row r="202">
          <cell r="A202">
            <v>342000</v>
          </cell>
          <cell r="B202" t="str">
            <v>Servicios de cobranza, investigación crediticia y similar</v>
          </cell>
          <cell r="C202" t="str">
            <v>N</v>
          </cell>
        </row>
        <row r="203">
          <cell r="A203">
            <v>342001</v>
          </cell>
          <cell r="B203" t="str">
            <v>Servicios de cobranza, investigación crediticia y similar</v>
          </cell>
          <cell r="C203" t="str">
            <v>S</v>
          </cell>
        </row>
        <row r="204">
          <cell r="A204">
            <v>343000</v>
          </cell>
          <cell r="B204" t="str">
            <v>Servicios de recaudación, traslado y custodia de valores</v>
          </cell>
          <cell r="C204" t="str">
            <v>N</v>
          </cell>
        </row>
        <row r="205">
          <cell r="A205">
            <v>343001</v>
          </cell>
          <cell r="B205" t="str">
            <v>Servicios de recaudación, traslado y custodia de valores</v>
          </cell>
          <cell r="C205" t="str">
            <v>S</v>
          </cell>
        </row>
        <row r="206">
          <cell r="A206">
            <v>344000</v>
          </cell>
          <cell r="B206" t="str">
            <v>Seguros de responsabilidad patrimonial y fianzas</v>
          </cell>
          <cell r="C206" t="str">
            <v>N</v>
          </cell>
        </row>
        <row r="207">
          <cell r="A207">
            <v>344001</v>
          </cell>
          <cell r="B207" t="str">
            <v>Seguros de responsabilidad patrimonial y fianzas</v>
          </cell>
          <cell r="C207" t="str">
            <v>S</v>
          </cell>
        </row>
        <row r="208">
          <cell r="A208">
            <v>345000</v>
          </cell>
          <cell r="B208" t="str">
            <v>Seguro de bienes patrimoniales</v>
          </cell>
          <cell r="C208" t="str">
            <v>N</v>
          </cell>
        </row>
        <row r="209">
          <cell r="A209">
            <v>345001</v>
          </cell>
          <cell r="B209" t="str">
            <v>Seguros</v>
          </cell>
          <cell r="C209" t="str">
            <v>S</v>
          </cell>
        </row>
        <row r="210">
          <cell r="A210">
            <v>346000</v>
          </cell>
          <cell r="B210" t="str">
            <v>Almacenaje, envase y embalaje</v>
          </cell>
          <cell r="C210" t="str">
            <v>N</v>
          </cell>
        </row>
        <row r="211">
          <cell r="A211">
            <v>346001</v>
          </cell>
          <cell r="B211" t="str">
            <v>Almacenaje, envase y embalaje</v>
          </cell>
          <cell r="C211" t="str">
            <v>S</v>
          </cell>
        </row>
        <row r="212">
          <cell r="A212">
            <v>347000</v>
          </cell>
          <cell r="B212" t="str">
            <v>Fletes y maniobras</v>
          </cell>
          <cell r="C212" t="str">
            <v>N</v>
          </cell>
        </row>
        <row r="213">
          <cell r="A213">
            <v>347001</v>
          </cell>
          <cell r="B213" t="str">
            <v>Fletes, maniobras y almacenaje</v>
          </cell>
          <cell r="C213" t="str">
            <v>S</v>
          </cell>
        </row>
        <row r="214">
          <cell r="A214">
            <v>348000</v>
          </cell>
          <cell r="B214" t="str">
            <v>Comisiones por ventas</v>
          </cell>
          <cell r="C214" t="str">
            <v>N</v>
          </cell>
        </row>
        <row r="215">
          <cell r="A215">
            <v>348001</v>
          </cell>
          <cell r="B215" t="str">
            <v>Comisiones por ventas</v>
          </cell>
          <cell r="C215" t="str">
            <v>S</v>
          </cell>
        </row>
        <row r="216">
          <cell r="A216">
            <v>349000</v>
          </cell>
          <cell r="B216" t="str">
            <v>Servicios financieros, bancarios y comerciales integrales</v>
          </cell>
          <cell r="C216" t="str">
            <v>N</v>
          </cell>
        </row>
        <row r="217">
          <cell r="A217">
            <v>349001</v>
          </cell>
          <cell r="B217" t="str">
            <v>Servicios financieros, bancarios y comerciales integrales</v>
          </cell>
          <cell r="C217" t="str">
            <v>S</v>
          </cell>
        </row>
        <row r="218">
          <cell r="A218">
            <v>350000</v>
          </cell>
          <cell r="B218" t="str">
            <v>SERVICIOS DE INSTALACIÓN, REPARACIÓN, MANTENIMIENTO Y CONSERVACIÓN</v>
          </cell>
          <cell r="C218" t="str">
            <v>N</v>
          </cell>
        </row>
        <row r="219">
          <cell r="A219">
            <v>351000</v>
          </cell>
          <cell r="B219" t="str">
            <v>Conservación y mantenimiento menor de inmuebles</v>
          </cell>
          <cell r="C219" t="str">
            <v>N</v>
          </cell>
        </row>
        <row r="220">
          <cell r="A220">
            <v>351001</v>
          </cell>
          <cell r="B220" t="str">
            <v>Mantenimiento de inmuebles</v>
          </cell>
          <cell r="C220" t="str">
            <v>S</v>
          </cell>
        </row>
        <row r="221">
          <cell r="A221">
            <v>351002</v>
          </cell>
          <cell r="B221" t="str">
            <v>Fumigación de Inmuebles</v>
          </cell>
          <cell r="C221" t="str">
            <v>S</v>
          </cell>
        </row>
        <row r="222">
          <cell r="A222">
            <v>351003</v>
          </cell>
          <cell r="B222" t="str">
            <v>Mantto. y Conserv. de Inmuebles Sub Proc. Zona Norte</v>
          </cell>
          <cell r="C222" t="str">
            <v>S</v>
          </cell>
        </row>
        <row r="223">
          <cell r="A223">
            <v>352000</v>
          </cell>
          <cell r="B223" t="str">
            <v>Instalación, reparación y mantenimiento de mobiliario y equipo de administración, educacional y recreativo</v>
          </cell>
          <cell r="C223" t="str">
            <v>N</v>
          </cell>
        </row>
        <row r="224">
          <cell r="A224">
            <v>352001</v>
          </cell>
          <cell r="B224" t="str">
            <v>Mantenimiento de mobiliario y equipo</v>
          </cell>
          <cell r="C224" t="str">
            <v>S</v>
          </cell>
        </row>
        <row r="225">
          <cell r="A225">
            <v>352002</v>
          </cell>
          <cell r="B225" t="str">
            <v>Gastos de instalación</v>
          </cell>
          <cell r="C225" t="str">
            <v>S</v>
          </cell>
        </row>
        <row r="226">
          <cell r="A226">
            <v>352003</v>
          </cell>
          <cell r="B226" t="str">
            <v>Mantto. y Conservación Archivo General de Notarias del Gob. del Edo.</v>
          </cell>
          <cell r="C226" t="str">
            <v>S</v>
          </cell>
        </row>
        <row r="227">
          <cell r="A227">
            <v>353000</v>
          </cell>
          <cell r="B227" t="str">
            <v>Instalación, reparación y mantenimiento de equipo de cómputo y tecnología de la información</v>
          </cell>
          <cell r="C227" t="str">
            <v>N</v>
          </cell>
        </row>
        <row r="228">
          <cell r="A228">
            <v>353001</v>
          </cell>
          <cell r="B228" t="str">
            <v>Instalación, reparación y mantenimiento de equipo de cómputo y tecnología  de la información</v>
          </cell>
          <cell r="C228" t="str">
            <v>S</v>
          </cell>
        </row>
        <row r="229">
          <cell r="A229">
            <v>354000</v>
          </cell>
          <cell r="B229" t="str">
            <v>Instalación, reparación y mantenimiento de equipo e instrumental médico y de laboratorio</v>
          </cell>
          <cell r="C229" t="str">
            <v>N</v>
          </cell>
        </row>
        <row r="230">
          <cell r="A230">
            <v>354001</v>
          </cell>
          <cell r="B230" t="str">
            <v>Instalación, reparación y mantenimiento de equipo e instrumental médico y de laboratorio</v>
          </cell>
          <cell r="C230" t="str">
            <v>S</v>
          </cell>
        </row>
        <row r="231">
          <cell r="A231">
            <v>355000</v>
          </cell>
          <cell r="B231" t="str">
            <v>Reparación y mantenimiento de equipo de transporte</v>
          </cell>
          <cell r="C231" t="str">
            <v>N</v>
          </cell>
        </row>
        <row r="232">
          <cell r="A232">
            <v>355001</v>
          </cell>
          <cell r="B232" t="str">
            <v>Mantto. y conservación de vehículos terrestres, aéreos, marítimos, lacustres y fluviales</v>
          </cell>
          <cell r="C232" t="str">
            <v>S</v>
          </cell>
        </row>
        <row r="233">
          <cell r="A233">
            <v>356000</v>
          </cell>
          <cell r="B233" t="str">
            <v>Reparación y mantenimiento de equipo de defensa y seguridad</v>
          </cell>
          <cell r="C233" t="str">
            <v>N</v>
          </cell>
        </row>
        <row r="234">
          <cell r="A234">
            <v>356001</v>
          </cell>
          <cell r="B234" t="str">
            <v>Reparación y mantenimiento de equipo de defensa y seguridad</v>
          </cell>
          <cell r="C234" t="str">
            <v>S</v>
          </cell>
        </row>
        <row r="235">
          <cell r="A235">
            <v>357000</v>
          </cell>
          <cell r="B235" t="str">
            <v>Instalación, reparación y mantenimiento de maquinaria, otros equipos y herramienta</v>
          </cell>
          <cell r="C235" t="str">
            <v>N</v>
          </cell>
        </row>
        <row r="236">
          <cell r="A236">
            <v>357001</v>
          </cell>
          <cell r="B236" t="str">
            <v>Instalación, reparación y mantenimiento de Equipo de Telecomunicaciones</v>
          </cell>
          <cell r="C236" t="str">
            <v>S</v>
          </cell>
        </row>
        <row r="237">
          <cell r="A237">
            <v>357002</v>
          </cell>
          <cell r="B237" t="str">
            <v>Instalación, reparación y mantenimiento de maquinaria, otros equipos y herramienta</v>
          </cell>
          <cell r="C237" t="str">
            <v>S</v>
          </cell>
        </row>
        <row r="238">
          <cell r="A238">
            <v>358000</v>
          </cell>
          <cell r="B238" t="str">
            <v>Servicios de limpieza y manejo de desechos</v>
          </cell>
          <cell r="C238" t="str">
            <v>N</v>
          </cell>
        </row>
        <row r="239">
          <cell r="A239">
            <v>358001</v>
          </cell>
          <cell r="B239" t="str">
            <v>Servicios de higiene y limpieza</v>
          </cell>
          <cell r="C239" t="str">
            <v>S</v>
          </cell>
        </row>
        <row r="240">
          <cell r="A240">
            <v>358002</v>
          </cell>
          <cell r="B240" t="str">
            <v>Servicios de Limpieza y Lavado de Vehículos</v>
          </cell>
          <cell r="C240" t="str">
            <v>S</v>
          </cell>
        </row>
        <row r="241">
          <cell r="A241">
            <v>358003</v>
          </cell>
          <cell r="B241" t="str">
            <v>Servicios de Lavandería</v>
          </cell>
          <cell r="C241" t="str">
            <v>S</v>
          </cell>
        </row>
        <row r="242">
          <cell r="A242">
            <v>359000</v>
          </cell>
          <cell r="B242" t="str">
            <v>Servicios de jardinería y fumigación</v>
          </cell>
          <cell r="C242" t="str">
            <v>N</v>
          </cell>
        </row>
        <row r="243">
          <cell r="A243">
            <v>359001</v>
          </cell>
          <cell r="B243" t="str">
            <v>Árboles, plantas, semillas y abonos</v>
          </cell>
          <cell r="C243" t="str">
            <v>S</v>
          </cell>
        </row>
        <row r="244">
          <cell r="A244">
            <v>359002</v>
          </cell>
          <cell r="B244" t="str">
            <v>Fumigación de áreas verdes</v>
          </cell>
          <cell r="C244" t="str">
            <v>S</v>
          </cell>
        </row>
        <row r="245">
          <cell r="A245">
            <v>360000</v>
          </cell>
          <cell r="B245" t="str">
            <v>SERVICIOS DE COMUNICACIÓN SOCIAL Y PUBLICIDAD</v>
          </cell>
          <cell r="C245" t="str">
            <v>N</v>
          </cell>
        </row>
        <row r="246">
          <cell r="A246">
            <v>361000</v>
          </cell>
          <cell r="B246" t="str">
            <v>Difusión por radio, televisión y otros medios de mensajes sobre programas y actividades gubernamentales</v>
          </cell>
          <cell r="C246" t="str">
            <v>N</v>
          </cell>
        </row>
        <row r="247">
          <cell r="A247">
            <v>361001</v>
          </cell>
          <cell r="B247" t="str">
            <v>Gastos de difusión</v>
          </cell>
          <cell r="C247" t="str">
            <v>S</v>
          </cell>
        </row>
        <row r="248">
          <cell r="A248">
            <v>361002</v>
          </cell>
          <cell r="B248" t="str">
            <v>Impresiones y publicaciones oficiales</v>
          </cell>
          <cell r="C248" t="str">
            <v>S</v>
          </cell>
        </row>
        <row r="249">
          <cell r="A249">
            <v>361003</v>
          </cell>
          <cell r="B249" t="str">
            <v>Rotulaciones oficiales</v>
          </cell>
          <cell r="C249" t="str">
            <v>S</v>
          </cell>
        </row>
        <row r="250">
          <cell r="A250">
            <v>361004</v>
          </cell>
          <cell r="B250" t="str">
            <v>Publicación de convocatorias</v>
          </cell>
          <cell r="C250" t="str">
            <v>S</v>
          </cell>
        </row>
        <row r="251">
          <cell r="A251">
            <v>362000</v>
          </cell>
          <cell r="B251" t="str">
            <v>Difusión por radio, televisión y otros medios de mensajes comerciales para promover la venta de bienes o servicios</v>
          </cell>
          <cell r="C251" t="str">
            <v>N</v>
          </cell>
        </row>
        <row r="252">
          <cell r="A252">
            <v>362001</v>
          </cell>
          <cell r="B252" t="str">
            <v>Difusión por radio, televisión y otros medios de mensajes comerciales para promover la venta de bienes o servicios</v>
          </cell>
          <cell r="C252" t="str">
            <v>S</v>
          </cell>
        </row>
        <row r="253">
          <cell r="A253">
            <v>362002</v>
          </cell>
          <cell r="B253" t="str">
            <v>Difusión por radio, televisión y otros medios de mensajes comerciales para promover la venta de bienes o servicios, fuera del país</v>
          </cell>
          <cell r="C253" t="str">
            <v>S</v>
          </cell>
        </row>
        <row r="254">
          <cell r="A254">
            <v>363000</v>
          </cell>
          <cell r="B254" t="str">
            <v>Servicios de creatividad, preproducción y producción de publicidad, excepto Internet</v>
          </cell>
          <cell r="C254" t="str">
            <v>N</v>
          </cell>
        </row>
        <row r="255">
          <cell r="A255">
            <v>363001</v>
          </cell>
          <cell r="B255" t="str">
            <v>Servicios de Producción y Diseño Publicitario</v>
          </cell>
          <cell r="C255" t="str">
            <v>S</v>
          </cell>
        </row>
        <row r="256">
          <cell r="A256">
            <v>364000</v>
          </cell>
          <cell r="B256" t="str">
            <v>Servicios de revelado de fotografías</v>
          </cell>
          <cell r="C256" t="str">
            <v>N</v>
          </cell>
        </row>
        <row r="257">
          <cell r="A257">
            <v>364001</v>
          </cell>
          <cell r="B257" t="str">
            <v>Revelado de Fotografías</v>
          </cell>
          <cell r="C257" t="str">
            <v>S</v>
          </cell>
        </row>
        <row r="258">
          <cell r="A258">
            <v>365000</v>
          </cell>
          <cell r="B258" t="str">
            <v>Servicios de la industria fílmica, del sonido y del video</v>
          </cell>
          <cell r="C258" t="str">
            <v>N</v>
          </cell>
        </row>
        <row r="259">
          <cell r="A259">
            <v>365001</v>
          </cell>
          <cell r="B259" t="str">
            <v>Servicios de la industria fílmica, del sonido y del video</v>
          </cell>
          <cell r="C259" t="str">
            <v>S</v>
          </cell>
        </row>
        <row r="260">
          <cell r="A260">
            <v>366000</v>
          </cell>
          <cell r="B260" t="str">
            <v>Servicio de creación y difusión de contenido exclusivamente a través de Internet</v>
          </cell>
          <cell r="C260" t="str">
            <v>N</v>
          </cell>
        </row>
        <row r="261">
          <cell r="A261">
            <v>366001</v>
          </cell>
          <cell r="B261" t="str">
            <v>Gastos de difusión a través de internet</v>
          </cell>
          <cell r="C261" t="str">
            <v>S</v>
          </cell>
        </row>
        <row r="262">
          <cell r="A262">
            <v>369000</v>
          </cell>
          <cell r="B262" t="str">
            <v>Otros servicios de información</v>
          </cell>
          <cell r="C262" t="str">
            <v>N</v>
          </cell>
        </row>
        <row r="263">
          <cell r="A263">
            <v>369001</v>
          </cell>
          <cell r="B263" t="str">
            <v>Monitoreo de Información y Encuestas</v>
          </cell>
          <cell r="C263" t="str">
            <v>S</v>
          </cell>
        </row>
        <row r="264">
          <cell r="A264">
            <v>370000</v>
          </cell>
          <cell r="B264" t="str">
            <v>SERVICIOS DE TRASLADO Y VIÁTICOS</v>
          </cell>
          <cell r="C264" t="str">
            <v>N</v>
          </cell>
        </row>
        <row r="265">
          <cell r="A265">
            <v>371000</v>
          </cell>
          <cell r="B265" t="str">
            <v>Pasajes aéreos</v>
          </cell>
          <cell r="C265" t="str">
            <v>N</v>
          </cell>
        </row>
        <row r="266">
          <cell r="A266">
            <v>371001</v>
          </cell>
          <cell r="B266" t="str">
            <v>Pasajes aéreos</v>
          </cell>
          <cell r="C266" t="str">
            <v>S</v>
          </cell>
        </row>
        <row r="267">
          <cell r="A267">
            <v>372000</v>
          </cell>
          <cell r="B267" t="str">
            <v>Pasajes terrestres</v>
          </cell>
          <cell r="C267" t="str">
            <v>N</v>
          </cell>
        </row>
        <row r="268">
          <cell r="A268">
            <v>372001</v>
          </cell>
          <cell r="B268" t="str">
            <v>Pasajes terrestres</v>
          </cell>
          <cell r="C268" t="str">
            <v>S</v>
          </cell>
        </row>
        <row r="269">
          <cell r="A269">
            <v>373000</v>
          </cell>
          <cell r="B269" t="str">
            <v>Pasajes marítimos, lacustres y fluviales</v>
          </cell>
          <cell r="C269" t="str">
            <v>N</v>
          </cell>
        </row>
        <row r="270">
          <cell r="A270">
            <v>373001</v>
          </cell>
          <cell r="B270" t="str">
            <v>Pasajes marítimos</v>
          </cell>
          <cell r="C270" t="str">
            <v>S</v>
          </cell>
        </row>
        <row r="271">
          <cell r="A271">
            <v>374000</v>
          </cell>
          <cell r="B271" t="str">
            <v>Autotransporte</v>
          </cell>
          <cell r="C271" t="str">
            <v>N</v>
          </cell>
        </row>
        <row r="272">
          <cell r="A272">
            <v>374001</v>
          </cell>
          <cell r="B272" t="str">
            <v>Autotransporte</v>
          </cell>
          <cell r="C272" t="str">
            <v>S</v>
          </cell>
        </row>
        <row r="273">
          <cell r="A273">
            <v>375000</v>
          </cell>
          <cell r="B273" t="str">
            <v>Viáticos en el país</v>
          </cell>
          <cell r="C273" t="str">
            <v>N</v>
          </cell>
        </row>
        <row r="274">
          <cell r="A274">
            <v>375001</v>
          </cell>
          <cell r="B274" t="str">
            <v>Viáticos</v>
          </cell>
          <cell r="C274" t="str">
            <v>S</v>
          </cell>
        </row>
        <row r="275">
          <cell r="A275">
            <v>376000</v>
          </cell>
          <cell r="B275" t="str">
            <v>Viáticos en el extranjero</v>
          </cell>
          <cell r="C275" t="str">
            <v>N</v>
          </cell>
        </row>
        <row r="276">
          <cell r="A276">
            <v>376001</v>
          </cell>
          <cell r="B276" t="str">
            <v>Viáticos en el extranjero</v>
          </cell>
          <cell r="C276" t="str">
            <v>S</v>
          </cell>
        </row>
        <row r="277">
          <cell r="A277">
            <v>377000</v>
          </cell>
          <cell r="B277" t="str">
            <v>Gastos de instalación y traslado de menaje</v>
          </cell>
          <cell r="C277" t="str">
            <v>N</v>
          </cell>
        </row>
        <row r="278">
          <cell r="A278">
            <v>377001</v>
          </cell>
          <cell r="B278" t="str">
            <v>Gastos de instalación y traslado de menaje</v>
          </cell>
          <cell r="C278" t="str">
            <v>S</v>
          </cell>
        </row>
        <row r="279">
          <cell r="A279">
            <v>378000</v>
          </cell>
          <cell r="B279" t="str">
            <v>Servicios integrales de traslado y viáticos</v>
          </cell>
          <cell r="C279" t="str">
            <v>N</v>
          </cell>
        </row>
        <row r="280">
          <cell r="A280">
            <v>378001</v>
          </cell>
          <cell r="B280" t="str">
            <v>Diligencias judiciales</v>
          </cell>
          <cell r="C280" t="str">
            <v>S</v>
          </cell>
        </row>
        <row r="281">
          <cell r="A281">
            <v>379000</v>
          </cell>
          <cell r="B281" t="str">
            <v>Otros servicios de traslado y hospedaje</v>
          </cell>
          <cell r="C281" t="str">
            <v>N</v>
          </cell>
        </row>
        <row r="282">
          <cell r="A282">
            <v>379001</v>
          </cell>
          <cell r="B282" t="str">
            <v>Traslado de vehículos</v>
          </cell>
          <cell r="C282" t="str">
            <v>S</v>
          </cell>
        </row>
        <row r="283">
          <cell r="A283">
            <v>379002</v>
          </cell>
          <cell r="B283" t="str">
            <v>Gastos de traslado de personas</v>
          </cell>
          <cell r="C283" t="str">
            <v>S</v>
          </cell>
        </row>
        <row r="284">
          <cell r="A284">
            <v>379003</v>
          </cell>
          <cell r="B284" t="str">
            <v>Hospedaje de personas</v>
          </cell>
          <cell r="C284" t="str">
            <v>S</v>
          </cell>
        </row>
        <row r="285">
          <cell r="A285">
            <v>380000</v>
          </cell>
          <cell r="B285" t="str">
            <v>SERVICIOS OFICIALES</v>
          </cell>
          <cell r="C285" t="str">
            <v>N</v>
          </cell>
        </row>
        <row r="286">
          <cell r="A286">
            <v>381000</v>
          </cell>
          <cell r="B286" t="str">
            <v>Gastos de ceremonial</v>
          </cell>
          <cell r="C286" t="str">
            <v>N</v>
          </cell>
        </row>
        <row r="287">
          <cell r="A287">
            <v>381001</v>
          </cell>
          <cell r="B287" t="str">
            <v>Atención a personalidades nacionales y extranjeras</v>
          </cell>
          <cell r="C287" t="str">
            <v>S</v>
          </cell>
        </row>
        <row r="288">
          <cell r="A288">
            <v>382000</v>
          </cell>
          <cell r="B288" t="str">
            <v>Gastos de orden social y cultural</v>
          </cell>
          <cell r="C288" t="str">
            <v>N</v>
          </cell>
        </row>
        <row r="289">
          <cell r="A289">
            <v>382001</v>
          </cell>
          <cell r="B289" t="str">
            <v>Espectáculos y actividades culturales</v>
          </cell>
          <cell r="C289" t="str">
            <v>S</v>
          </cell>
        </row>
        <row r="290">
          <cell r="A290">
            <v>382002</v>
          </cell>
          <cell r="B290" t="str">
            <v>Gastos de recepción, conmemorativos y de orden social</v>
          </cell>
          <cell r="C290" t="str">
            <v>S</v>
          </cell>
        </row>
        <row r="291">
          <cell r="A291">
            <v>382003</v>
          </cell>
          <cell r="B291" t="str">
            <v>Adaptaciones para eventos sociales y culturales</v>
          </cell>
          <cell r="C291" t="str">
            <v>S</v>
          </cell>
        </row>
        <row r="292">
          <cell r="A292">
            <v>382004</v>
          </cell>
          <cell r="B292" t="str">
            <v>Festividades y Eventos</v>
          </cell>
          <cell r="C292" t="str">
            <v>S</v>
          </cell>
        </row>
        <row r="293">
          <cell r="A293">
            <v>383000</v>
          </cell>
          <cell r="B293" t="str">
            <v>Congresos y convenciones</v>
          </cell>
          <cell r="C293" t="str">
            <v>N</v>
          </cell>
        </row>
        <row r="294">
          <cell r="A294">
            <v>383001</v>
          </cell>
          <cell r="B294" t="str">
            <v>Congresos y convenciones</v>
          </cell>
          <cell r="C294" t="str">
            <v>S</v>
          </cell>
        </row>
        <row r="295">
          <cell r="A295">
            <v>384000</v>
          </cell>
          <cell r="B295" t="str">
            <v>Exposiciones</v>
          </cell>
          <cell r="C295" t="str">
            <v>N</v>
          </cell>
        </row>
        <row r="296">
          <cell r="A296">
            <v>384001</v>
          </cell>
          <cell r="B296" t="str">
            <v>Exposiciones</v>
          </cell>
          <cell r="C296" t="str">
            <v>S</v>
          </cell>
        </row>
        <row r="297">
          <cell r="A297">
            <v>385000</v>
          </cell>
          <cell r="B297" t="str">
            <v>Gastos de representación</v>
          </cell>
          <cell r="C297" t="str">
            <v>N</v>
          </cell>
        </row>
        <row r="298">
          <cell r="A298">
            <v>385001</v>
          </cell>
          <cell r="B298" t="str">
            <v>Gastos de representación</v>
          </cell>
          <cell r="C298" t="str">
            <v>S</v>
          </cell>
        </row>
        <row r="299">
          <cell r="A299">
            <v>390000</v>
          </cell>
          <cell r="B299" t="str">
            <v>OTROS SERVICIOS GENERALES</v>
          </cell>
          <cell r="C299" t="str">
            <v>N</v>
          </cell>
        </row>
        <row r="300">
          <cell r="A300">
            <v>391000</v>
          </cell>
          <cell r="B300" t="str">
            <v>Servicios funerarios y de cementerios</v>
          </cell>
          <cell r="C300" t="str">
            <v>N</v>
          </cell>
        </row>
        <row r="301">
          <cell r="A301">
            <v>391001</v>
          </cell>
          <cell r="B301" t="str">
            <v>Servicios funerarios y de cementerios</v>
          </cell>
          <cell r="C301" t="str">
            <v>S</v>
          </cell>
        </row>
        <row r="302">
          <cell r="A302">
            <v>392000</v>
          </cell>
          <cell r="B302" t="str">
            <v>Impuestos y derechos</v>
          </cell>
          <cell r="C302" t="str">
            <v>N</v>
          </cell>
        </row>
        <row r="303">
          <cell r="A303">
            <v>392001</v>
          </cell>
          <cell r="B303" t="str">
            <v>Impuestos y derechos</v>
          </cell>
          <cell r="C303" t="str">
            <v>S</v>
          </cell>
        </row>
        <row r="304">
          <cell r="A304">
            <v>393000</v>
          </cell>
          <cell r="B304" t="str">
            <v>Impuestos y derechos de importación</v>
          </cell>
          <cell r="C304" t="str">
            <v>N</v>
          </cell>
        </row>
        <row r="305">
          <cell r="A305">
            <v>393001</v>
          </cell>
          <cell r="B305" t="str">
            <v>Impuestos y derechos de importación</v>
          </cell>
          <cell r="C305" t="str">
            <v>S</v>
          </cell>
        </row>
        <row r="306">
          <cell r="A306">
            <v>394000</v>
          </cell>
          <cell r="B306" t="str">
            <v>Sentencias y resoluciones judiciales</v>
          </cell>
          <cell r="C306" t="str">
            <v>N</v>
          </cell>
        </row>
        <row r="307">
          <cell r="A307">
            <v>394001</v>
          </cell>
          <cell r="B307" t="str">
            <v>Sentencias y resoluciones judiciales</v>
          </cell>
          <cell r="C307" t="str">
            <v>S</v>
          </cell>
        </row>
        <row r="308">
          <cell r="A308">
            <v>395000</v>
          </cell>
          <cell r="B308" t="str">
            <v>Penas, multas, accesorios y actualizaciones</v>
          </cell>
          <cell r="C308" t="str">
            <v>N</v>
          </cell>
        </row>
        <row r="309">
          <cell r="A309">
            <v>395001</v>
          </cell>
          <cell r="B309" t="str">
            <v>Penas, multas, accesorios y actualizaciones</v>
          </cell>
          <cell r="C309" t="str">
            <v>S</v>
          </cell>
        </row>
        <row r="310">
          <cell r="A310">
            <v>396000</v>
          </cell>
          <cell r="B310" t="str">
            <v>Otros gastos por responsabilidades</v>
          </cell>
          <cell r="C310" t="str">
            <v>N</v>
          </cell>
        </row>
        <row r="311">
          <cell r="A311">
            <v>396001</v>
          </cell>
          <cell r="B311" t="str">
            <v>Otros gastos por responsabilidades</v>
          </cell>
          <cell r="C311" t="str">
            <v>S</v>
          </cell>
        </row>
        <row r="312">
          <cell r="A312">
            <v>399000</v>
          </cell>
          <cell r="B312" t="str">
            <v>Otros servicios generales</v>
          </cell>
          <cell r="C312" t="str">
            <v>N</v>
          </cell>
        </row>
        <row r="313">
          <cell r="A313">
            <v>399001</v>
          </cell>
          <cell r="B313" t="str">
            <v>Gastos menores</v>
          </cell>
          <cell r="C313" t="str">
            <v>S</v>
          </cell>
        </row>
        <row r="314">
          <cell r="A314">
            <v>399002</v>
          </cell>
          <cell r="B314" t="str">
            <v>Retribuciones a reos</v>
          </cell>
          <cell r="C314" t="str">
            <v>S</v>
          </cell>
        </row>
        <row r="315">
          <cell r="A315">
            <v>399003</v>
          </cell>
          <cell r="B315" t="str">
            <v>Otros servicios de la administración pública</v>
          </cell>
          <cell r="C315" t="str">
            <v>S</v>
          </cell>
        </row>
        <row r="316">
          <cell r="A316">
            <v>399004</v>
          </cell>
          <cell r="B316" t="str">
            <v>Previsión Arrendamientos</v>
          </cell>
          <cell r="C316" t="str">
            <v>Prev</v>
          </cell>
        </row>
        <row r="317">
          <cell r="A317">
            <v>500000</v>
          </cell>
          <cell r="B317" t="str">
            <v>BIENES MUEBLES, INMUEBLES E INTANGIBLES</v>
          </cell>
          <cell r="C317" t="str">
            <v>N</v>
          </cell>
        </row>
        <row r="318">
          <cell r="A318">
            <v>510000</v>
          </cell>
          <cell r="B318" t="str">
            <v>MOBILIARIO Y EQUIPO DE ADMINISTRACIÓN</v>
          </cell>
          <cell r="C318" t="str">
            <v>N</v>
          </cell>
        </row>
        <row r="319">
          <cell r="A319">
            <v>511000</v>
          </cell>
          <cell r="B319" t="str">
            <v>Muebles de oficina y estantería</v>
          </cell>
          <cell r="C319" t="str">
            <v>N</v>
          </cell>
        </row>
        <row r="320">
          <cell r="A320">
            <v>511001</v>
          </cell>
          <cell r="B320" t="str">
            <v>Mobiliario</v>
          </cell>
          <cell r="C320" t="str">
            <v>S</v>
          </cell>
        </row>
        <row r="321">
          <cell r="A321">
            <v>512000</v>
          </cell>
          <cell r="B321" t="str">
            <v>Muebles, excepto de oficina y estantería</v>
          </cell>
          <cell r="C321" t="str">
            <v>N</v>
          </cell>
        </row>
        <row r="322">
          <cell r="A322">
            <v>512001</v>
          </cell>
          <cell r="B322" t="str">
            <v>Muebles, excepto de oficina y estantería</v>
          </cell>
          <cell r="C322" t="str">
            <v>S</v>
          </cell>
        </row>
        <row r="323">
          <cell r="A323">
            <v>513000</v>
          </cell>
          <cell r="B323" t="str">
            <v>Bienes artísticos, culturales y científicos</v>
          </cell>
          <cell r="C323" t="str">
            <v>N</v>
          </cell>
        </row>
        <row r="324">
          <cell r="A324">
            <v>513001</v>
          </cell>
          <cell r="B324" t="str">
            <v>Bienes artísticos y culturales</v>
          </cell>
          <cell r="C324" t="str">
            <v>S</v>
          </cell>
        </row>
        <row r="325">
          <cell r="A325">
            <v>514000</v>
          </cell>
          <cell r="B325" t="str">
            <v>Objetos de valor</v>
          </cell>
          <cell r="C325" t="str">
            <v>N</v>
          </cell>
        </row>
        <row r="326">
          <cell r="A326">
            <v>514001</v>
          </cell>
          <cell r="B326" t="str">
            <v>Objetos de valor</v>
          </cell>
          <cell r="C326" t="str">
            <v>S</v>
          </cell>
        </row>
        <row r="327">
          <cell r="A327">
            <v>515000</v>
          </cell>
          <cell r="B327" t="str">
            <v>Equipo de cómputo y de tecnologías de la información</v>
          </cell>
          <cell r="C327" t="str">
            <v>N</v>
          </cell>
        </row>
        <row r="328">
          <cell r="A328">
            <v>515001</v>
          </cell>
          <cell r="B328" t="str">
            <v>Equipo de administración</v>
          </cell>
          <cell r="C328" t="str">
            <v>S</v>
          </cell>
        </row>
        <row r="329">
          <cell r="A329">
            <v>515002</v>
          </cell>
          <cell r="B329" t="str">
            <v>Equipo de Cómputo y Aparatos de Uso Informático</v>
          </cell>
          <cell r="C329" t="str">
            <v>S</v>
          </cell>
        </row>
        <row r="330">
          <cell r="A330">
            <v>515003</v>
          </cell>
          <cell r="B330" t="str">
            <v>Sistemas de Rastreo Satelital (GPS)</v>
          </cell>
          <cell r="C330" t="str">
            <v>S</v>
          </cell>
        </row>
        <row r="331">
          <cell r="A331">
            <v>519000</v>
          </cell>
          <cell r="B331" t="str">
            <v>Otros mobiliarios y equipos de administración</v>
          </cell>
          <cell r="C331" t="str">
            <v>N</v>
          </cell>
        </row>
        <row r="332">
          <cell r="A332">
            <v>519001</v>
          </cell>
          <cell r="B332" t="str">
            <v>Cámaras y Circuitos Cerrados de Seguridad</v>
          </cell>
          <cell r="C332" t="str">
            <v>S</v>
          </cell>
        </row>
        <row r="333">
          <cell r="A333">
            <v>519002</v>
          </cell>
          <cell r="B333" t="str">
            <v>Equipos de Audio</v>
          </cell>
          <cell r="C333" t="str">
            <v>S</v>
          </cell>
        </row>
        <row r="334">
          <cell r="A334">
            <v>519003</v>
          </cell>
          <cell r="B334" t="str">
            <v>Otras Herramientas, Mobiliarios y Eq. De Administración</v>
          </cell>
          <cell r="C334" t="str">
            <v>S</v>
          </cell>
        </row>
        <row r="335">
          <cell r="A335">
            <v>519004</v>
          </cell>
          <cell r="B335" t="str">
            <v>Aulas Móviles de Vigilancia</v>
          </cell>
          <cell r="C335" t="str">
            <v>S</v>
          </cell>
        </row>
        <row r="336">
          <cell r="A336">
            <v>520000</v>
          </cell>
          <cell r="B336" t="str">
            <v>MOBILIARIO Y EQUIPO EDUCACIONAL Y RECREATIVO</v>
          </cell>
          <cell r="C336" t="str">
            <v>N</v>
          </cell>
        </row>
        <row r="337">
          <cell r="A337">
            <v>521000</v>
          </cell>
          <cell r="B337" t="str">
            <v>Equipos y aparatos audiovisuales</v>
          </cell>
          <cell r="C337" t="str">
            <v>N</v>
          </cell>
        </row>
        <row r="338">
          <cell r="A338">
            <v>521001</v>
          </cell>
          <cell r="B338" t="str">
            <v>Equipo educacional y recreativo</v>
          </cell>
          <cell r="C338" t="str">
            <v>S</v>
          </cell>
        </row>
        <row r="339">
          <cell r="A339">
            <v>522000</v>
          </cell>
          <cell r="B339" t="str">
            <v>Aparatos deportivos</v>
          </cell>
          <cell r="C339" t="str">
            <v>N</v>
          </cell>
        </row>
        <row r="340">
          <cell r="A340">
            <v>522001</v>
          </cell>
          <cell r="B340" t="str">
            <v>Aparatos deportivos</v>
          </cell>
          <cell r="C340" t="str">
            <v>S</v>
          </cell>
        </row>
        <row r="341">
          <cell r="A341">
            <v>523000</v>
          </cell>
          <cell r="B341" t="str">
            <v>Cámaras fotográficas y de video</v>
          </cell>
          <cell r="C341" t="str">
            <v>N</v>
          </cell>
        </row>
        <row r="342">
          <cell r="A342">
            <v>523001</v>
          </cell>
          <cell r="B342" t="str">
            <v>Cámaras Fotográficas</v>
          </cell>
          <cell r="C342" t="str">
            <v>S</v>
          </cell>
        </row>
        <row r="343">
          <cell r="A343">
            <v>523002</v>
          </cell>
          <cell r="B343" t="str">
            <v>Cámaras de Video</v>
          </cell>
          <cell r="C343" t="str">
            <v>S</v>
          </cell>
        </row>
        <row r="344">
          <cell r="A344">
            <v>529000</v>
          </cell>
          <cell r="B344" t="str">
            <v>Otro mobiliario y equipo educacional y recreativo</v>
          </cell>
          <cell r="C344" t="str">
            <v>N</v>
          </cell>
        </row>
        <row r="345">
          <cell r="A345">
            <v>529001</v>
          </cell>
          <cell r="B345" t="str">
            <v>Instrumentos Musicales</v>
          </cell>
          <cell r="C345" t="str">
            <v>S</v>
          </cell>
        </row>
        <row r="346">
          <cell r="A346">
            <v>529002</v>
          </cell>
          <cell r="B346" t="str">
            <v>Equipo Educacional</v>
          </cell>
          <cell r="C346" t="str">
            <v>S</v>
          </cell>
        </row>
        <row r="347">
          <cell r="A347">
            <v>530000</v>
          </cell>
          <cell r="B347" t="str">
            <v>EQUIPO E INSTRUMENTAL MÉDICO Y DE LABORATORIO</v>
          </cell>
          <cell r="C347" t="str">
            <v>N</v>
          </cell>
        </row>
        <row r="348">
          <cell r="A348">
            <v>531000</v>
          </cell>
          <cell r="B348" t="str">
            <v>Equipo médico y de laboratorio</v>
          </cell>
          <cell r="C348" t="str">
            <v>N</v>
          </cell>
        </row>
        <row r="349">
          <cell r="A349">
            <v>531001</v>
          </cell>
          <cell r="B349" t="str">
            <v>Equipo e instrumental medico</v>
          </cell>
          <cell r="C349" t="str">
            <v>S</v>
          </cell>
        </row>
        <row r="350">
          <cell r="A350">
            <v>532000</v>
          </cell>
          <cell r="B350" t="str">
            <v>Instrumental médico y de laboratorio</v>
          </cell>
          <cell r="C350" t="str">
            <v>N</v>
          </cell>
        </row>
        <row r="351">
          <cell r="A351">
            <v>532001</v>
          </cell>
          <cell r="B351" t="str">
            <v>Instrumental médico y de laboratorio</v>
          </cell>
          <cell r="C351" t="str">
            <v>S</v>
          </cell>
        </row>
        <row r="352">
          <cell r="A352">
            <v>540000</v>
          </cell>
          <cell r="B352" t="str">
            <v>VEHÍCULOS Y EQUIPO DE TRANSPORTE</v>
          </cell>
          <cell r="C352" t="str">
            <v>N</v>
          </cell>
        </row>
        <row r="353">
          <cell r="A353">
            <v>541000</v>
          </cell>
          <cell r="B353" t="str">
            <v>Automóviles y camiones</v>
          </cell>
          <cell r="C353" t="str">
            <v>N</v>
          </cell>
        </row>
        <row r="354">
          <cell r="A354">
            <v>541001</v>
          </cell>
          <cell r="B354" t="str">
            <v>Vehículos y equipo terrestre</v>
          </cell>
          <cell r="C354" t="str">
            <v>S</v>
          </cell>
        </row>
        <row r="355">
          <cell r="A355">
            <v>542000</v>
          </cell>
          <cell r="B355" t="str">
            <v>Carrocerías y remolques</v>
          </cell>
          <cell r="C355" t="str">
            <v>N</v>
          </cell>
        </row>
        <row r="356">
          <cell r="A356">
            <v>542001</v>
          </cell>
          <cell r="B356" t="str">
            <v>Carrocerías y remolques</v>
          </cell>
          <cell r="C356" t="str">
            <v>S</v>
          </cell>
        </row>
        <row r="357">
          <cell r="A357">
            <v>543000</v>
          </cell>
          <cell r="B357" t="str">
            <v>Equipo aeroespacial</v>
          </cell>
          <cell r="C357" t="str">
            <v>N</v>
          </cell>
        </row>
        <row r="358">
          <cell r="A358">
            <v>543001</v>
          </cell>
          <cell r="B358" t="str">
            <v>Vehículos y equipo de transporte aéreo</v>
          </cell>
          <cell r="C358" t="str">
            <v>S</v>
          </cell>
        </row>
        <row r="359">
          <cell r="A359">
            <v>544000</v>
          </cell>
          <cell r="B359" t="str">
            <v>Equipo ferroviario</v>
          </cell>
          <cell r="C359" t="str">
            <v>N</v>
          </cell>
        </row>
        <row r="360">
          <cell r="A360">
            <v>544001</v>
          </cell>
          <cell r="B360" t="str">
            <v>Equipo ferroviario</v>
          </cell>
          <cell r="C360" t="str">
            <v>S</v>
          </cell>
        </row>
        <row r="361">
          <cell r="A361">
            <v>545000</v>
          </cell>
          <cell r="B361" t="str">
            <v>Embarcaciones</v>
          </cell>
          <cell r="C361" t="str">
            <v>N</v>
          </cell>
        </row>
        <row r="362">
          <cell r="A362">
            <v>545001</v>
          </cell>
          <cell r="B362" t="str">
            <v>Vehículos y equipo marino</v>
          </cell>
          <cell r="C362" t="str">
            <v>S</v>
          </cell>
        </row>
        <row r="363">
          <cell r="A363">
            <v>549000</v>
          </cell>
          <cell r="B363" t="str">
            <v>Otros Equipos de Transporte</v>
          </cell>
          <cell r="C363" t="str">
            <v>N</v>
          </cell>
        </row>
        <row r="364">
          <cell r="A364">
            <v>549001</v>
          </cell>
          <cell r="B364" t="str">
            <v>Otros equipos de transporte</v>
          </cell>
          <cell r="C364" t="str">
            <v>S</v>
          </cell>
        </row>
        <row r="365">
          <cell r="A365">
            <v>550000</v>
          </cell>
          <cell r="B365" t="str">
            <v>EQUIPO DE DEFENSA Y SEGURIDAD</v>
          </cell>
          <cell r="C365" t="str">
            <v>N</v>
          </cell>
        </row>
        <row r="366">
          <cell r="A366">
            <v>551000</v>
          </cell>
          <cell r="B366" t="str">
            <v>Equipo de defensa y seguridad</v>
          </cell>
          <cell r="C366" t="str">
            <v>N</v>
          </cell>
        </row>
        <row r="367">
          <cell r="A367">
            <v>551001</v>
          </cell>
          <cell r="B367" t="str">
            <v>Equipo de defensa y seguridad pública</v>
          </cell>
          <cell r="C367" t="str">
            <v>S</v>
          </cell>
        </row>
        <row r="368">
          <cell r="A368">
            <v>560000</v>
          </cell>
          <cell r="B368" t="str">
            <v>MAQUINARIA, OTROS EQUIPOS Y HERRAMIENTAS</v>
          </cell>
          <cell r="C368" t="str">
            <v>N</v>
          </cell>
        </row>
        <row r="369">
          <cell r="A369">
            <v>561000</v>
          </cell>
          <cell r="B369" t="str">
            <v>Maquinaria y equipo agropecuario</v>
          </cell>
          <cell r="C369" t="str">
            <v>N</v>
          </cell>
        </row>
        <row r="370">
          <cell r="A370">
            <v>561001</v>
          </cell>
          <cell r="B370" t="str">
            <v>Maquinaria y equipo agropecuario, industrial y de construcción</v>
          </cell>
          <cell r="C370" t="str">
            <v>S</v>
          </cell>
        </row>
        <row r="371">
          <cell r="A371">
            <v>562000</v>
          </cell>
          <cell r="B371" t="str">
            <v>Maquinaria y equipo industrial</v>
          </cell>
          <cell r="C371" t="str">
            <v>N</v>
          </cell>
        </row>
        <row r="372">
          <cell r="A372">
            <v>562001</v>
          </cell>
          <cell r="B372" t="str">
            <v>Bombas Industriales</v>
          </cell>
          <cell r="C372" t="str">
            <v>S</v>
          </cell>
        </row>
        <row r="373">
          <cell r="A373">
            <v>563000</v>
          </cell>
          <cell r="B373" t="str">
            <v>Maquinaria y equipo de construcción</v>
          </cell>
          <cell r="C373" t="str">
            <v>N</v>
          </cell>
        </row>
        <row r="374">
          <cell r="A374">
            <v>563001</v>
          </cell>
          <cell r="B374" t="str">
            <v>Maquinaria y equipo de construcción</v>
          </cell>
          <cell r="C374" t="str">
            <v>S</v>
          </cell>
        </row>
        <row r="375">
          <cell r="A375">
            <v>564000</v>
          </cell>
          <cell r="B375" t="str">
            <v>Sistemas de aire acondicionado, calefacción y de refrigeración industrial y comercial</v>
          </cell>
          <cell r="C375" t="str">
            <v>N</v>
          </cell>
        </row>
        <row r="376">
          <cell r="A376">
            <v>564001</v>
          </cell>
          <cell r="B376" t="str">
            <v>Sistemas de aire acondicionado, calefacción y de refrigeración industrial y comercial</v>
          </cell>
          <cell r="C376" t="str">
            <v>S</v>
          </cell>
        </row>
        <row r="377">
          <cell r="A377">
            <v>565000</v>
          </cell>
          <cell r="B377" t="str">
            <v>Equipo de comunicación y telecomunicación</v>
          </cell>
          <cell r="C377" t="str">
            <v>N</v>
          </cell>
        </row>
        <row r="378">
          <cell r="A378">
            <v>565001</v>
          </cell>
          <cell r="B378" t="str">
            <v>Maq. y equipo de telecomunicaciones, eléctrica y electrónica</v>
          </cell>
          <cell r="C378" t="str">
            <v>S</v>
          </cell>
        </row>
        <row r="379">
          <cell r="A379">
            <v>566000</v>
          </cell>
          <cell r="B379" t="str">
            <v>Equipos de generación eléctrica, aparatos y accesorios eléctricos</v>
          </cell>
          <cell r="C379" t="str">
            <v>N</v>
          </cell>
        </row>
        <row r="380">
          <cell r="A380">
            <v>566001</v>
          </cell>
          <cell r="B380" t="str">
            <v>Equipos de generación eléctrica</v>
          </cell>
          <cell r="C380" t="str">
            <v>S</v>
          </cell>
        </row>
        <row r="381">
          <cell r="A381">
            <v>566002</v>
          </cell>
          <cell r="B381" t="str">
            <v>Aparatos y Accesorios eléctricos</v>
          </cell>
          <cell r="C381" t="str">
            <v>S</v>
          </cell>
        </row>
        <row r="382">
          <cell r="A382">
            <v>567000</v>
          </cell>
          <cell r="B382" t="str">
            <v>Herramientas y máquinas-herramienta</v>
          </cell>
          <cell r="C382" t="str">
            <v>N</v>
          </cell>
        </row>
        <row r="383">
          <cell r="A383">
            <v>567001</v>
          </cell>
          <cell r="B383" t="str">
            <v>Herramientas y refacciones mayores</v>
          </cell>
          <cell r="C383" t="str">
            <v>S</v>
          </cell>
        </row>
        <row r="384">
          <cell r="A384">
            <v>569000</v>
          </cell>
          <cell r="B384" t="str">
            <v>Otros equipos</v>
          </cell>
          <cell r="C384" t="str">
            <v>N</v>
          </cell>
        </row>
        <row r="385">
          <cell r="A385">
            <v>569001</v>
          </cell>
          <cell r="B385" t="str">
            <v>Maquinaria y equipo diverso</v>
          </cell>
          <cell r="C385" t="str">
            <v>S</v>
          </cell>
        </row>
        <row r="386">
          <cell r="A386">
            <v>570000</v>
          </cell>
          <cell r="B386" t="str">
            <v>ACTIVOS BIOLÓGICOS</v>
          </cell>
          <cell r="C386" t="str">
            <v>N</v>
          </cell>
        </row>
        <row r="387">
          <cell r="A387">
            <v>571000</v>
          </cell>
          <cell r="B387" t="str">
            <v>Bovinos</v>
          </cell>
          <cell r="C387" t="str">
            <v>N</v>
          </cell>
        </row>
        <row r="388">
          <cell r="A388">
            <v>571001</v>
          </cell>
          <cell r="B388" t="str">
            <v>Bovinos</v>
          </cell>
          <cell r="C388" t="str">
            <v>S</v>
          </cell>
        </row>
        <row r="389">
          <cell r="A389">
            <v>572000</v>
          </cell>
          <cell r="B389" t="str">
            <v>Porcinos</v>
          </cell>
          <cell r="C389" t="str">
            <v>N</v>
          </cell>
        </row>
        <row r="390">
          <cell r="A390">
            <v>572001</v>
          </cell>
          <cell r="B390" t="str">
            <v>Porcinos</v>
          </cell>
          <cell r="C390" t="str">
            <v>S</v>
          </cell>
        </row>
        <row r="391">
          <cell r="A391">
            <v>573000</v>
          </cell>
          <cell r="B391" t="str">
            <v>Aves</v>
          </cell>
          <cell r="C391" t="str">
            <v>N</v>
          </cell>
        </row>
        <row r="392">
          <cell r="A392">
            <v>573001</v>
          </cell>
          <cell r="B392" t="str">
            <v>Aves</v>
          </cell>
          <cell r="C392" t="str">
            <v>S</v>
          </cell>
        </row>
        <row r="393">
          <cell r="A393">
            <v>574000</v>
          </cell>
          <cell r="B393" t="str">
            <v>Ovinos y caprinos</v>
          </cell>
          <cell r="C393" t="str">
            <v>N</v>
          </cell>
        </row>
        <row r="394">
          <cell r="A394">
            <v>574001</v>
          </cell>
          <cell r="B394" t="str">
            <v>Ovinos y caprinos</v>
          </cell>
          <cell r="C394" t="str">
            <v>S</v>
          </cell>
        </row>
        <row r="395">
          <cell r="A395">
            <v>575000</v>
          </cell>
          <cell r="B395" t="str">
            <v>Peces y acuicultura</v>
          </cell>
          <cell r="C395" t="str">
            <v>N</v>
          </cell>
        </row>
        <row r="396">
          <cell r="A396">
            <v>575001</v>
          </cell>
          <cell r="B396" t="str">
            <v>Peces y acuicultura</v>
          </cell>
          <cell r="C396" t="str">
            <v>S</v>
          </cell>
        </row>
        <row r="397">
          <cell r="A397">
            <v>576000</v>
          </cell>
          <cell r="B397" t="str">
            <v>Equinos</v>
          </cell>
          <cell r="C397" t="str">
            <v>N</v>
          </cell>
        </row>
        <row r="398">
          <cell r="A398">
            <v>576001</v>
          </cell>
          <cell r="B398" t="str">
            <v>Equinos</v>
          </cell>
          <cell r="C398" t="str">
            <v>S</v>
          </cell>
        </row>
        <row r="399">
          <cell r="A399">
            <v>577000</v>
          </cell>
          <cell r="B399" t="str">
            <v>Especies menores y de zoológico</v>
          </cell>
          <cell r="C399" t="str">
            <v>N</v>
          </cell>
        </row>
        <row r="400">
          <cell r="A400">
            <v>577001</v>
          </cell>
          <cell r="B400" t="str">
            <v>Especies menores y de zoológico</v>
          </cell>
          <cell r="C400" t="str">
            <v>S</v>
          </cell>
        </row>
        <row r="401">
          <cell r="A401">
            <v>578000</v>
          </cell>
          <cell r="B401" t="str">
            <v>Árboles y plantas</v>
          </cell>
          <cell r="C401" t="str">
            <v>N</v>
          </cell>
        </row>
        <row r="402">
          <cell r="A402">
            <v>578001</v>
          </cell>
          <cell r="B402" t="str">
            <v>Árboles y plantas</v>
          </cell>
          <cell r="C402" t="str">
            <v>S</v>
          </cell>
        </row>
        <row r="403">
          <cell r="A403">
            <v>579000</v>
          </cell>
          <cell r="B403" t="str">
            <v>Otros activos biológicos</v>
          </cell>
          <cell r="C403" t="str">
            <v>N</v>
          </cell>
        </row>
        <row r="404">
          <cell r="A404">
            <v>579001</v>
          </cell>
          <cell r="B404" t="str">
            <v>Otros activos biológicos</v>
          </cell>
          <cell r="C404" t="str">
            <v>S</v>
          </cell>
        </row>
        <row r="405">
          <cell r="A405">
            <v>580000</v>
          </cell>
          <cell r="B405" t="str">
            <v>BIENES INMUEBLES</v>
          </cell>
          <cell r="C405" t="str">
            <v>N</v>
          </cell>
        </row>
        <row r="406">
          <cell r="A406">
            <v>581000</v>
          </cell>
          <cell r="B406" t="str">
            <v>Terrenos</v>
          </cell>
          <cell r="C406" t="str">
            <v>N</v>
          </cell>
        </row>
        <row r="407">
          <cell r="A407">
            <v>581001</v>
          </cell>
          <cell r="B407" t="str">
            <v>Terrenos</v>
          </cell>
          <cell r="C407" t="str">
            <v>S</v>
          </cell>
        </row>
        <row r="408">
          <cell r="A408">
            <v>582000</v>
          </cell>
          <cell r="B408" t="str">
            <v>Viviendas</v>
          </cell>
          <cell r="C408" t="str">
            <v>N</v>
          </cell>
        </row>
        <row r="409">
          <cell r="A409">
            <v>582001</v>
          </cell>
          <cell r="B409" t="str">
            <v>Viviendas</v>
          </cell>
          <cell r="C409" t="str">
            <v>S</v>
          </cell>
        </row>
        <row r="410">
          <cell r="A410">
            <v>583000</v>
          </cell>
          <cell r="B410" t="str">
            <v>Edificios no residenciales</v>
          </cell>
          <cell r="C410" t="str">
            <v>N</v>
          </cell>
        </row>
        <row r="411">
          <cell r="A411">
            <v>583001</v>
          </cell>
          <cell r="B411" t="str">
            <v>Edificios y locales</v>
          </cell>
          <cell r="C411" t="str">
            <v>S</v>
          </cell>
        </row>
        <row r="412">
          <cell r="A412">
            <v>589000</v>
          </cell>
          <cell r="B412" t="str">
            <v>Otros bienes inmuebles</v>
          </cell>
          <cell r="C412" t="str">
            <v>N</v>
          </cell>
        </row>
        <row r="413">
          <cell r="A413">
            <v>589001</v>
          </cell>
          <cell r="B413" t="str">
            <v>Adjudicaciones, expropiaciones e indemnizaciones de inmuebles</v>
          </cell>
          <cell r="C413" t="str">
            <v>S</v>
          </cell>
        </row>
        <row r="414">
          <cell r="A414">
            <v>590000</v>
          </cell>
          <cell r="B414" t="str">
            <v>ACTIVOS INTANGIBLES</v>
          </cell>
          <cell r="C414" t="str">
            <v>N</v>
          </cell>
        </row>
        <row r="415">
          <cell r="A415">
            <v>591000</v>
          </cell>
          <cell r="B415" t="str">
            <v>Software</v>
          </cell>
          <cell r="C415" t="str">
            <v>N</v>
          </cell>
        </row>
        <row r="416">
          <cell r="A416">
            <v>591001</v>
          </cell>
          <cell r="B416" t="str">
            <v>Software</v>
          </cell>
          <cell r="C416" t="str">
            <v>S</v>
          </cell>
        </row>
        <row r="417">
          <cell r="A417">
            <v>592000</v>
          </cell>
          <cell r="B417" t="str">
            <v>Patentes</v>
          </cell>
          <cell r="C417" t="str">
            <v>N</v>
          </cell>
        </row>
        <row r="418">
          <cell r="A418">
            <v>592001</v>
          </cell>
          <cell r="B418" t="str">
            <v>Patentes</v>
          </cell>
          <cell r="C418" t="str">
            <v>S</v>
          </cell>
        </row>
        <row r="419">
          <cell r="A419">
            <v>593000</v>
          </cell>
          <cell r="B419" t="str">
            <v>Marcas</v>
          </cell>
          <cell r="C419" t="str">
            <v>N</v>
          </cell>
        </row>
        <row r="420">
          <cell r="A420">
            <v>593001</v>
          </cell>
          <cell r="B420" t="str">
            <v>Marcas</v>
          </cell>
          <cell r="C420" t="str">
            <v>S</v>
          </cell>
        </row>
        <row r="421">
          <cell r="A421">
            <v>594000</v>
          </cell>
          <cell r="B421" t="str">
            <v>Derechos</v>
          </cell>
          <cell r="C421" t="str">
            <v>N</v>
          </cell>
        </row>
        <row r="422">
          <cell r="A422">
            <v>594001</v>
          </cell>
          <cell r="B422" t="str">
            <v>Derechos</v>
          </cell>
          <cell r="C422" t="str">
            <v>S</v>
          </cell>
        </row>
        <row r="423">
          <cell r="A423">
            <v>595000</v>
          </cell>
          <cell r="B423" t="str">
            <v>Concesiones</v>
          </cell>
          <cell r="C423" t="str">
            <v>N</v>
          </cell>
        </row>
        <row r="424">
          <cell r="A424">
            <v>595001</v>
          </cell>
          <cell r="B424" t="str">
            <v>Concesiones</v>
          </cell>
          <cell r="C424" t="str">
            <v>S</v>
          </cell>
        </row>
        <row r="425">
          <cell r="A425">
            <v>596000</v>
          </cell>
          <cell r="B425" t="str">
            <v>Franquicias</v>
          </cell>
          <cell r="C425" t="str">
            <v>N</v>
          </cell>
        </row>
        <row r="426">
          <cell r="A426">
            <v>596001</v>
          </cell>
          <cell r="B426" t="str">
            <v>Franquicias</v>
          </cell>
          <cell r="C426" t="str">
            <v>S</v>
          </cell>
        </row>
        <row r="427">
          <cell r="A427">
            <v>597000</v>
          </cell>
          <cell r="B427" t="str">
            <v>Licencias informáticas e intelectuales</v>
          </cell>
          <cell r="C427" t="str">
            <v>N</v>
          </cell>
        </row>
        <row r="428">
          <cell r="A428">
            <v>597001</v>
          </cell>
          <cell r="B428" t="str">
            <v>Licencias para programas de antivirus</v>
          </cell>
          <cell r="C428" t="str">
            <v>S</v>
          </cell>
        </row>
        <row r="429">
          <cell r="A429">
            <v>597002</v>
          </cell>
          <cell r="B429" t="str">
            <v>Licencias Microsoft Windows server 2003 edición estándar</v>
          </cell>
          <cell r="C429" t="str">
            <v>S</v>
          </cell>
        </row>
        <row r="430">
          <cell r="A430">
            <v>598000</v>
          </cell>
          <cell r="B430" t="str">
            <v>Licencias industriales, comerciales y otras</v>
          </cell>
          <cell r="C430" t="str">
            <v>N</v>
          </cell>
        </row>
        <row r="431">
          <cell r="A431">
            <v>598001</v>
          </cell>
          <cell r="B431" t="str">
            <v>Licencias industriales, comerciales y otras</v>
          </cell>
          <cell r="C431" t="str">
            <v>S</v>
          </cell>
        </row>
        <row r="432">
          <cell r="A432">
            <v>599000</v>
          </cell>
          <cell r="B432" t="str">
            <v>Otros activos intangibles</v>
          </cell>
          <cell r="C432" t="str">
            <v>N</v>
          </cell>
        </row>
        <row r="433">
          <cell r="A433">
            <v>599001</v>
          </cell>
          <cell r="B433" t="str">
            <v>Otros activos intangibles</v>
          </cell>
          <cell r="C433" t="str">
            <v>S</v>
          </cell>
        </row>
      </sheetData>
      <sheetData sheetId="4">
        <row r="1">
          <cell r="A1" t="str">
            <v>NOMENCLATURA</v>
          </cell>
          <cell r="B1" t="str">
            <v>DESCRPCION</v>
          </cell>
          <cell r="C1"/>
          <cell r="D1"/>
        </row>
        <row r="2">
          <cell r="A2">
            <v>100</v>
          </cell>
          <cell r="B2" t="str">
            <v>INGRESOS PROPIOS Y APROVECHAMIENTOS</v>
          </cell>
          <cell r="C2"/>
          <cell r="D2"/>
        </row>
        <row r="3">
          <cell r="A3">
            <v>101</v>
          </cell>
          <cell r="B3" t="str">
            <v>INGRESOS PROPIOS (IMPUESTOS, DERECHOS, PRODUCTOS Y APROVECHAMIENTOS)</v>
          </cell>
          <cell r="C3"/>
          <cell r="D3"/>
        </row>
        <row r="4">
          <cell r="A4">
            <v>102</v>
          </cell>
          <cell r="B4" t="str">
            <v>INGRESOS PROPIOS</v>
          </cell>
          <cell r="C4"/>
          <cell r="D4"/>
        </row>
        <row r="5">
          <cell r="A5">
            <v>103</v>
          </cell>
          <cell r="B5" t="str">
            <v>INGRESOS PROPIOS APORTACIONES MUNICIPALES</v>
          </cell>
          <cell r="C5"/>
          <cell r="D5"/>
        </row>
        <row r="6">
          <cell r="A6">
            <v>104</v>
          </cell>
          <cell r="B6" t="str">
            <v>APROVECHAMIENTO POR EL USO DE LA I NFRAESTRUCTURA ESTATAL</v>
          </cell>
          <cell r="C6"/>
          <cell r="D6"/>
        </row>
        <row r="7">
          <cell r="A7">
            <v>110</v>
          </cell>
          <cell r="B7" t="str">
            <v>RECURSO F.O.I.S.</v>
          </cell>
          <cell r="C7"/>
          <cell r="D7"/>
        </row>
        <row r="8">
          <cell r="A8">
            <v>111</v>
          </cell>
          <cell r="B8" t="str">
            <v>RECURSO A.P.I.</v>
          </cell>
          <cell r="C8"/>
          <cell r="D8"/>
        </row>
        <row r="9">
          <cell r="A9">
            <v>130</v>
          </cell>
          <cell r="B9" t="str">
            <v>Reintegro con Ingresos Propios Ramo 28</v>
          </cell>
          <cell r="C9"/>
          <cell r="D9"/>
        </row>
        <row r="10">
          <cell r="A10">
            <v>136</v>
          </cell>
          <cell r="B10" t="str">
            <v>Reintegro con Ingresos Propios FONE</v>
          </cell>
          <cell r="C10"/>
          <cell r="D10"/>
        </row>
        <row r="11">
          <cell r="A11">
            <v>137</v>
          </cell>
          <cell r="B11" t="str">
            <v>Reintegro con Ingresos Propios FASSA</v>
          </cell>
          <cell r="C11"/>
          <cell r="D11"/>
        </row>
        <row r="12">
          <cell r="A12">
            <v>138</v>
          </cell>
          <cell r="B12" t="str">
            <v>Reintegro con Ingresos Propios FAIS/FISE</v>
          </cell>
          <cell r="C12"/>
          <cell r="D12"/>
        </row>
        <row r="13">
          <cell r="A13">
            <v>139</v>
          </cell>
          <cell r="B13" t="str">
            <v>Reintegro con Ingresos Propios FAIS/FISM</v>
          </cell>
          <cell r="C13"/>
          <cell r="D13"/>
        </row>
        <row r="14">
          <cell r="A14">
            <v>140</v>
          </cell>
          <cell r="B14" t="str">
            <v>Reintegro con Ingresos Propios FORTAMUN</v>
          </cell>
          <cell r="C14"/>
          <cell r="D14"/>
        </row>
        <row r="15">
          <cell r="A15">
            <v>141</v>
          </cell>
          <cell r="B15" t="str">
            <v>Reintegro con Ingresos Propios FAM/Asistencia Social</v>
          </cell>
          <cell r="C15"/>
          <cell r="D15"/>
        </row>
        <row r="16">
          <cell r="A16">
            <v>142</v>
          </cell>
          <cell r="B16" t="str">
            <v>Reintegro con Ingresos Propios FAM/Infraest. Educación Básica</v>
          </cell>
          <cell r="C16"/>
          <cell r="D16"/>
        </row>
        <row r="17">
          <cell r="A17">
            <v>143</v>
          </cell>
          <cell r="B17" t="str">
            <v>Reintegro con Ingresos Propios FAM/ Infraest. Educación Media Superior y Superior</v>
          </cell>
          <cell r="C17"/>
          <cell r="D17"/>
        </row>
        <row r="18">
          <cell r="A18">
            <v>145</v>
          </cell>
          <cell r="B18" t="str">
            <v>Reintegro con Ingresos Propios FAETA/Educ. Tecnológica (CONALEP)</v>
          </cell>
          <cell r="C18"/>
          <cell r="D18"/>
        </row>
        <row r="19">
          <cell r="A19">
            <v>146</v>
          </cell>
          <cell r="B19" t="str">
            <v>Reintegro con Ingresos Propios FAETA Educ. Adultos (IEEA)</v>
          </cell>
          <cell r="C19"/>
          <cell r="D19"/>
        </row>
        <row r="20">
          <cell r="A20">
            <v>147</v>
          </cell>
          <cell r="B20" t="str">
            <v>Reintegro con Ingresos Propios FASP</v>
          </cell>
          <cell r="C20"/>
          <cell r="D20"/>
        </row>
        <row r="21">
          <cell r="A21">
            <v>148</v>
          </cell>
          <cell r="B21" t="str">
            <v>Reintegro con Ingresos Propios FAFEF</v>
          </cell>
          <cell r="C21"/>
          <cell r="D21"/>
        </row>
        <row r="22">
          <cell r="A22">
            <v>149</v>
          </cell>
          <cell r="B22" t="str">
            <v>Reintegro con Ingresos Propios SEDATU</v>
          </cell>
          <cell r="C22"/>
          <cell r="D22"/>
        </row>
        <row r="23">
          <cell r="A23">
            <v>161</v>
          </cell>
          <cell r="B23" t="str">
            <v>Reintegro con Ingresos Propios CULTURA Ramo 48</v>
          </cell>
          <cell r="C23"/>
          <cell r="D23"/>
        </row>
        <row r="24">
          <cell r="A24">
            <v>162</v>
          </cell>
          <cell r="B24" t="str">
            <v>Reintegro con Ingresos Propios UABCS</v>
          </cell>
          <cell r="C24"/>
          <cell r="D24"/>
        </row>
        <row r="25">
          <cell r="A25">
            <v>163</v>
          </cell>
          <cell r="B25" t="str">
            <v>Reintegro con Ingresos Propios CONAGUA</v>
          </cell>
          <cell r="C25"/>
          <cell r="D25"/>
        </row>
        <row r="26">
          <cell r="A26">
            <v>164</v>
          </cell>
          <cell r="B26" t="str">
            <v>Reintegro con Ingresos Propios SEGOB</v>
          </cell>
          <cell r="C26"/>
          <cell r="D26"/>
        </row>
        <row r="27">
          <cell r="A27">
            <v>165</v>
          </cell>
          <cell r="B27" t="str">
            <v>Reintegro con Ingresos Propios SECTUR</v>
          </cell>
          <cell r="C27"/>
          <cell r="D27"/>
        </row>
        <row r="28">
          <cell r="A28">
            <v>166</v>
          </cell>
          <cell r="B28" t="str">
            <v>Reintegro con Ingresos Propios PROFIS</v>
          </cell>
          <cell r="C28"/>
          <cell r="D28"/>
        </row>
        <row r="29">
          <cell r="A29">
            <v>167</v>
          </cell>
          <cell r="B29" t="str">
            <v>Reintegro con Ingresos Propios SSP</v>
          </cell>
          <cell r="C29"/>
          <cell r="D29"/>
        </row>
        <row r="30">
          <cell r="A30">
            <v>168</v>
          </cell>
          <cell r="B30" t="str">
            <v>Reintegro con Ingresos Propios COBACH</v>
          </cell>
          <cell r="C30"/>
          <cell r="D30"/>
        </row>
        <row r="31">
          <cell r="A31">
            <v>169</v>
          </cell>
          <cell r="B31" t="str">
            <v>Reintegro con Ingresos Propios Fondo Proporcional Peso a Peso</v>
          </cell>
          <cell r="C31"/>
          <cell r="D31"/>
        </row>
        <row r="32">
          <cell r="A32">
            <v>170</v>
          </cell>
          <cell r="B32" t="str">
            <v>Reintegro con Ingresos Propios CECYTE</v>
          </cell>
          <cell r="C32"/>
          <cell r="D32"/>
        </row>
        <row r="33">
          <cell r="A33">
            <v>171</v>
          </cell>
          <cell r="B33" t="str">
            <v>Reintegro con Ingresos Propios Imp. Ref. Penal (SETEC)</v>
          </cell>
          <cell r="C33"/>
          <cell r="D33"/>
        </row>
        <row r="34">
          <cell r="A34">
            <v>172</v>
          </cell>
          <cell r="B34" t="str">
            <v>Reintegro con Ingresos Propios CONADE</v>
          </cell>
          <cell r="C34"/>
          <cell r="D34"/>
        </row>
        <row r="35">
          <cell r="A35">
            <v>173</v>
          </cell>
          <cell r="B35" t="str">
            <v>Reintegro con Ingresos Propios Conv. Salud (Ramo 12)</v>
          </cell>
          <cell r="C35"/>
          <cell r="D35"/>
        </row>
        <row r="36">
          <cell r="A36">
            <v>174</v>
          </cell>
          <cell r="B36" t="str">
            <v>Reintegro con Ingresos Propios Secretaría de Economía</v>
          </cell>
          <cell r="C36"/>
          <cell r="D36"/>
        </row>
        <row r="37">
          <cell r="A37">
            <v>177</v>
          </cell>
          <cell r="B37" t="str">
            <v>Reintegro con Ingresos Propios SUBSEMUN</v>
          </cell>
          <cell r="C37"/>
          <cell r="D37"/>
        </row>
        <row r="38">
          <cell r="A38">
            <v>178</v>
          </cell>
          <cell r="B38" t="str">
            <v>Reintegro con Ingresos Propios Fondo Para La Infraest. de los Estados</v>
          </cell>
          <cell r="C38"/>
          <cell r="D38"/>
        </row>
        <row r="39">
          <cell r="A39">
            <v>179</v>
          </cell>
          <cell r="B39" t="str">
            <v>Reintegro con Ingresos Propios Apoyo Financiero Ext. UABCS</v>
          </cell>
          <cell r="C39"/>
          <cell r="D39"/>
        </row>
        <row r="40">
          <cell r="A40">
            <v>180</v>
          </cell>
          <cell r="B40" t="str">
            <v>Reintegro con Ingresos Propios Apoyo Financiero Ext. ISIFE</v>
          </cell>
          <cell r="C40"/>
          <cell r="D40"/>
        </row>
        <row r="41">
          <cell r="A41">
            <v>181</v>
          </cell>
          <cell r="B41" t="str">
            <v>Reintegro con Ingresos Propios Subs. Policía Estatal Acreditable (SPA)</v>
          </cell>
          <cell r="C41"/>
          <cell r="D41"/>
        </row>
        <row r="42">
          <cell r="A42">
            <v>182</v>
          </cell>
          <cell r="B42" t="str">
            <v>Reintegro con Ingresos Propios PROASP</v>
          </cell>
          <cell r="C42"/>
          <cell r="D42"/>
        </row>
        <row r="43">
          <cell r="A43">
            <v>183</v>
          </cell>
          <cell r="B43" t="str">
            <v>Reintegro con Ingresos Propios Ingresos Extraordinarios</v>
          </cell>
          <cell r="C43"/>
          <cell r="D43"/>
        </row>
        <row r="44">
          <cell r="A44">
            <v>184</v>
          </cell>
          <cell r="B44" t="str">
            <v>Reintegro con Ingresos Propios Ingresos Derivados del 5 Al Millar (Obra)</v>
          </cell>
          <cell r="C44"/>
          <cell r="D44"/>
        </row>
        <row r="45">
          <cell r="A45">
            <v>185</v>
          </cell>
          <cell r="B45" t="str">
            <v>Reintegro con Ingresos Propios Ingresos Extraordinarios Ramo 23</v>
          </cell>
          <cell r="C45"/>
          <cell r="D45"/>
        </row>
        <row r="46">
          <cell r="A46">
            <v>186</v>
          </cell>
          <cell r="B46" t="str">
            <v>Reintegro con Ingresos Propios Ingresos Extraordinarios Ramo 21</v>
          </cell>
          <cell r="C46"/>
          <cell r="D46"/>
        </row>
        <row r="47">
          <cell r="A47">
            <v>187</v>
          </cell>
          <cell r="B47" t="str">
            <v>Reintegro con Ingresos Propios Ingresos Extraordinarios Sep. Ramo 11</v>
          </cell>
          <cell r="C47"/>
          <cell r="D47"/>
        </row>
        <row r="48">
          <cell r="A48">
            <v>188</v>
          </cell>
          <cell r="B48" t="str">
            <v>Reintegro con Ingresos Propios Ingresos Ext. Ramo 09 (SCT)</v>
          </cell>
          <cell r="C48"/>
          <cell r="D48"/>
        </row>
        <row r="49">
          <cell r="A49">
            <v>189</v>
          </cell>
          <cell r="B49" t="str">
            <v>Reintegro con Ingresos Propios Ingresos Ext. Ramo 16 (SEMARNAT)</v>
          </cell>
          <cell r="C49"/>
          <cell r="D49"/>
        </row>
        <row r="50">
          <cell r="A50">
            <v>201</v>
          </cell>
          <cell r="B50" t="str">
            <v>BONO CUPÓN CERO</v>
          </cell>
          <cell r="C50"/>
          <cell r="D50"/>
        </row>
        <row r="51">
          <cell r="A51">
            <v>500</v>
          </cell>
          <cell r="B51" t="str">
            <v>RECURSOS FEDERALES</v>
          </cell>
          <cell r="C51"/>
          <cell r="D51"/>
        </row>
        <row r="52">
          <cell r="A52">
            <v>530</v>
          </cell>
          <cell r="B52" t="str">
            <v>PARTICIPACIONES Ramo 28</v>
          </cell>
          <cell r="C52"/>
          <cell r="D52"/>
        </row>
        <row r="53">
          <cell r="A53">
            <v>535</v>
          </cell>
          <cell r="B53" t="str">
            <v>INTERESES BANCARIOS PROYECTADOS, RECURSOS FEDERALES</v>
          </cell>
          <cell r="C53"/>
          <cell r="D53"/>
        </row>
        <row r="54">
          <cell r="A54">
            <v>536</v>
          </cell>
          <cell r="B54" t="str">
            <v>FONE Ramo 33</v>
          </cell>
          <cell r="C54"/>
          <cell r="D54"/>
        </row>
        <row r="55">
          <cell r="A55">
            <v>537</v>
          </cell>
          <cell r="B55" t="str">
            <v>FASSA Ramo 33</v>
          </cell>
          <cell r="C55"/>
          <cell r="D55"/>
        </row>
        <row r="56">
          <cell r="A56">
            <v>538</v>
          </cell>
          <cell r="B56" t="str">
            <v>FAIS/FISE Ramo 33</v>
          </cell>
          <cell r="C56"/>
          <cell r="D56"/>
        </row>
        <row r="57">
          <cell r="A57">
            <v>539</v>
          </cell>
          <cell r="B57" t="str">
            <v>FAIS/FISM Ramo 33</v>
          </cell>
          <cell r="C57"/>
          <cell r="D57"/>
        </row>
        <row r="58">
          <cell r="A58">
            <v>540</v>
          </cell>
          <cell r="B58" t="str">
            <v>FORTAMUN Ramo 33</v>
          </cell>
          <cell r="C58"/>
          <cell r="D58"/>
        </row>
        <row r="59">
          <cell r="A59">
            <v>541</v>
          </cell>
          <cell r="B59" t="str">
            <v>FAM/ASISTENCIA SOCIAL Ramo 33</v>
          </cell>
          <cell r="C59"/>
          <cell r="D59"/>
        </row>
        <row r="60">
          <cell r="A60">
            <v>542</v>
          </cell>
          <cell r="B60" t="str">
            <v>FAM/INFRAESTRUCTURA DE EDUCACIÓN BÁSICA Ramo 33</v>
          </cell>
          <cell r="C60"/>
          <cell r="D60"/>
        </row>
        <row r="61">
          <cell r="A61">
            <v>543</v>
          </cell>
          <cell r="B61" t="str">
            <v>FAM/EDUCACIÓN MEDIA SUPERIOR Y SUPERIOR Ramo 33</v>
          </cell>
          <cell r="C61"/>
          <cell r="D61"/>
        </row>
        <row r="62">
          <cell r="A62">
            <v>545</v>
          </cell>
          <cell r="B62" t="str">
            <v>FAETA/EDUCACIÓN TECNOLÓGICA ( CONALEP) Ramo 33</v>
          </cell>
          <cell r="C62"/>
          <cell r="D62"/>
        </row>
        <row r="63">
          <cell r="A63">
            <v>546</v>
          </cell>
          <cell r="B63" t="str">
            <v>FAETA/EDUCACIÓN ADULTOS (IEEA) Ramo 33</v>
          </cell>
          <cell r="C63"/>
          <cell r="D63"/>
        </row>
        <row r="64">
          <cell r="A64">
            <v>547</v>
          </cell>
          <cell r="B64" t="str">
            <v>FASP Ramo 33</v>
          </cell>
          <cell r="C64"/>
          <cell r="D64"/>
        </row>
        <row r="65">
          <cell r="A65">
            <v>548</v>
          </cell>
          <cell r="B65" t="str">
            <v>FAFEF Ramo 33</v>
          </cell>
          <cell r="C65"/>
          <cell r="D65"/>
        </row>
        <row r="66">
          <cell r="A66">
            <v>549</v>
          </cell>
          <cell r="B66" t="str">
            <v>SRIA. DE DES. AGRARIO TERRITORIAL Y URBANO (SEDATU) Ramo 15</v>
          </cell>
          <cell r="C66"/>
          <cell r="D66"/>
        </row>
        <row r="67">
          <cell r="A67">
            <v>561</v>
          </cell>
          <cell r="B67" t="str">
            <v>CULTURA FEDERAL Ramo 48</v>
          </cell>
          <cell r="C67"/>
          <cell r="D67"/>
        </row>
        <row r="68">
          <cell r="A68">
            <v>562</v>
          </cell>
          <cell r="B68" t="str">
            <v>UNIVERSIDAD AUTÓNOMA DE B.C.S. Ramo 11</v>
          </cell>
          <cell r="C68"/>
          <cell r="D68"/>
        </row>
        <row r="69">
          <cell r="A69">
            <v>563</v>
          </cell>
          <cell r="B69" t="str">
            <v>CONAGUA Ramo 16</v>
          </cell>
          <cell r="C69"/>
          <cell r="D69"/>
        </row>
        <row r="70">
          <cell r="A70">
            <v>564</v>
          </cell>
          <cell r="B70" t="str">
            <v>SECRETARÍA DE GOBERNACIÓN Ramo 04</v>
          </cell>
          <cell r="C70"/>
          <cell r="D70"/>
        </row>
        <row r="71">
          <cell r="A71">
            <v>565</v>
          </cell>
          <cell r="B71" t="str">
            <v>SECRETARÍA DE TURISMO Ramo 21</v>
          </cell>
          <cell r="C71"/>
          <cell r="D71"/>
        </row>
        <row r="72">
          <cell r="A72">
            <v>566</v>
          </cell>
          <cell r="B72" t="str">
            <v>PROFIS</v>
          </cell>
          <cell r="C72"/>
          <cell r="D72"/>
        </row>
        <row r="73">
          <cell r="A73">
            <v>567</v>
          </cell>
          <cell r="B73" t="str">
            <v>SECRETARÍA DE SEGURIDAD PÚBLICA</v>
          </cell>
          <cell r="C73"/>
          <cell r="D73"/>
        </row>
        <row r="74">
          <cell r="A74">
            <v>568</v>
          </cell>
          <cell r="B74" t="str">
            <v>COBACH Ramo 11</v>
          </cell>
          <cell r="C74"/>
          <cell r="D74"/>
        </row>
        <row r="75">
          <cell r="A75">
            <v>569</v>
          </cell>
          <cell r="B75" t="str">
            <v>FONDO PROPORCIONAL PESO A PESO</v>
          </cell>
          <cell r="C75"/>
          <cell r="D75"/>
        </row>
        <row r="76">
          <cell r="A76">
            <v>570</v>
          </cell>
          <cell r="B76" t="str">
            <v>CECYTE Ramo 11</v>
          </cell>
          <cell r="C76"/>
          <cell r="D76"/>
        </row>
        <row r="77">
          <cell r="A77">
            <v>571</v>
          </cell>
          <cell r="B77" t="str">
            <v>IMPLEMENTACIÓN DE LA REFORMA PENAL (SETEC)</v>
          </cell>
          <cell r="C77"/>
          <cell r="D77"/>
        </row>
        <row r="78">
          <cell r="A78">
            <v>572</v>
          </cell>
          <cell r="B78" t="str">
            <v>CONADE Ramo 11</v>
          </cell>
          <cell r="C78"/>
          <cell r="D78"/>
        </row>
        <row r="79">
          <cell r="A79">
            <v>573</v>
          </cell>
          <cell r="B79" t="str">
            <v>CONVENIOS Ramo 12</v>
          </cell>
          <cell r="C79"/>
          <cell r="D79"/>
        </row>
        <row r="80">
          <cell r="A80">
            <v>574</v>
          </cell>
          <cell r="B80" t="str">
            <v>SECRETARÍA DE ECONOMÍA Ramo 10</v>
          </cell>
          <cell r="C80"/>
          <cell r="D80"/>
        </row>
        <row r="81">
          <cell r="A81">
            <v>577</v>
          </cell>
          <cell r="B81" t="str">
            <v>SUBSIDIO SEGURIDAD PÚBLICA MUNICIPAL</v>
          </cell>
          <cell r="C81"/>
          <cell r="D81"/>
        </row>
        <row r="82">
          <cell r="A82">
            <v>578</v>
          </cell>
          <cell r="B82" t="str">
            <v>FIDEICOMISO PARA LA INFRAESTRUCTURA DE LOS ESTADOS Ramo 23</v>
          </cell>
          <cell r="C82"/>
          <cell r="D82"/>
        </row>
        <row r="83">
          <cell r="A83">
            <v>579</v>
          </cell>
          <cell r="B83" t="str">
            <v>APOYO FINANCIERO EXTRAORDINARIO UABCS Ramo 11</v>
          </cell>
          <cell r="C83"/>
          <cell r="D83"/>
        </row>
        <row r="84">
          <cell r="A84">
            <v>580</v>
          </cell>
          <cell r="B84" t="str">
            <v>APOYO FINANCIERO EXTRAORDINARIO ISIFE Ramo 11</v>
          </cell>
          <cell r="C84"/>
          <cell r="D84"/>
        </row>
        <row r="85">
          <cell r="A85">
            <v>581</v>
          </cell>
          <cell r="B85" t="str">
            <v>SUBSIDIO POLICÍA ESTATAL ACREDITABLE (SPA)</v>
          </cell>
          <cell r="C85"/>
          <cell r="D85"/>
        </row>
        <row r="86">
          <cell r="A86">
            <v>582</v>
          </cell>
          <cell r="B86" t="str">
            <v>PROASP PROG. DE ALCANCE NAL. EN MAT. DE SEG. PUB. Ramo 04</v>
          </cell>
          <cell r="C86"/>
          <cell r="D86"/>
        </row>
        <row r="87">
          <cell r="A87">
            <v>583</v>
          </cell>
          <cell r="B87" t="str">
            <v>INGRESOS EXTRAORDINARIOS</v>
          </cell>
          <cell r="C87"/>
          <cell r="D87"/>
        </row>
        <row r="88">
          <cell r="A88">
            <v>584</v>
          </cell>
          <cell r="B88" t="str">
            <v>INGRESOS DERIVADOS DEL 5 AL MILLAR (OBRA)</v>
          </cell>
          <cell r="C88"/>
          <cell r="D88"/>
        </row>
        <row r="89">
          <cell r="A89">
            <v>585</v>
          </cell>
          <cell r="B89" t="str">
            <v>INGRESOS EXT Ramo 23 ( Provisiones Salariales y Económicas )</v>
          </cell>
          <cell r="C89"/>
          <cell r="D89"/>
        </row>
        <row r="90">
          <cell r="A90">
            <v>586</v>
          </cell>
          <cell r="B90" t="str">
            <v>INGRESOS EXT Ramo 21 (TURISMO)</v>
          </cell>
          <cell r="C90"/>
          <cell r="D90"/>
        </row>
        <row r="91">
          <cell r="A91">
            <v>587</v>
          </cell>
          <cell r="B91" t="str">
            <v>INGRESOS EXT Ramo 11 (SEP)</v>
          </cell>
          <cell r="C91"/>
          <cell r="D91"/>
        </row>
        <row r="92">
          <cell r="A92">
            <v>588</v>
          </cell>
          <cell r="B92" t="str">
            <v>INGRESOS EXT Ramo 09 (SCT)</v>
          </cell>
          <cell r="C92"/>
          <cell r="D92"/>
        </row>
        <row r="93">
          <cell r="A93">
            <v>589</v>
          </cell>
          <cell r="B93" t="str">
            <v>INGRESOS EXT Ramo 16 (SEMARNAT)</v>
          </cell>
          <cell r="C93"/>
          <cell r="D93"/>
        </row>
        <row r="94">
          <cell r="A94">
            <v>590</v>
          </cell>
          <cell r="B94" t="str">
            <v>INGRESOS EXT FORTASEG Ramo 04 (GOBERNACIÓN)</v>
          </cell>
          <cell r="C94"/>
          <cell r="D94"/>
        </row>
        <row r="95">
          <cell r="A95">
            <v>591</v>
          </cell>
          <cell r="B95" t="str">
            <v>INGRESOS EXT Ramo 20 (BIENESTAR)</v>
          </cell>
          <cell r="C95"/>
          <cell r="D95"/>
        </row>
        <row r="96">
          <cell r="A96">
            <v>598</v>
          </cell>
          <cell r="B96" t="str">
            <v>REMANENTE FONE 2016</v>
          </cell>
          <cell r="C96"/>
          <cell r="D96"/>
        </row>
        <row r="97">
          <cell r="A97">
            <v>599</v>
          </cell>
          <cell r="B97" t="str">
            <v>REMANENTE FONE 2015</v>
          </cell>
          <cell r="C97"/>
          <cell r="D97"/>
        </row>
        <row r="98">
          <cell r="A98">
            <v>700</v>
          </cell>
          <cell r="B98" t="str">
            <v>OTROS RECURSOS</v>
          </cell>
          <cell r="C98"/>
          <cell r="D98"/>
        </row>
        <row r="99">
          <cell r="A99">
            <v>736</v>
          </cell>
          <cell r="B99" t="str">
            <v>RENDIMIENTOS FONE</v>
          </cell>
          <cell r="C99"/>
          <cell r="D99"/>
        </row>
        <row r="100">
          <cell r="A100">
            <v>737</v>
          </cell>
          <cell r="B100" t="str">
            <v>RENDIMIENTOS FAM</v>
          </cell>
          <cell r="C100"/>
          <cell r="D100"/>
        </row>
        <row r="101">
          <cell r="A101">
            <v>747</v>
          </cell>
          <cell r="B101" t="str">
            <v>RENDIMIENTOS FASP</v>
          </cell>
          <cell r="C101"/>
          <cell r="D101"/>
        </row>
        <row r="102">
          <cell r="A102">
            <v>783</v>
          </cell>
          <cell r="B102" t="str">
            <v>INGRESOS EXTRAORDINARIOS (OTROS)</v>
          </cell>
          <cell r="C102"/>
          <cell r="D102"/>
        </row>
      </sheetData>
      <sheetData sheetId="5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AS"/>
      <sheetName val="CAPITULO"/>
      <sheetName val="PARTIDA"/>
      <sheetName val="COG"/>
      <sheetName val="Hoja1"/>
      <sheetName val="FF"/>
      <sheetName val="PROCED"/>
    </sheetNames>
    <sheetDataSet>
      <sheetData sheetId="0"/>
      <sheetData sheetId="1"/>
      <sheetData sheetId="2">
        <row r="2">
          <cell r="H2" t="str">
            <v>MATERIALES</v>
          </cell>
        </row>
        <row r="3">
          <cell r="H3" t="str">
            <v>SERVICIOS</v>
          </cell>
        </row>
        <row r="4">
          <cell r="H4" t="str">
            <v>BIENES</v>
          </cell>
        </row>
      </sheetData>
      <sheetData sheetId="3">
        <row r="1">
          <cell r="A1" t="str">
            <v>CUENTA</v>
          </cell>
          <cell r="B1" t="str">
            <v>CONCEPTO</v>
          </cell>
          <cell r="C1" t="str">
            <v>AFECTABLE/ NO
AFECTABLE</v>
          </cell>
        </row>
        <row r="2">
          <cell r="A2">
            <v>210000</v>
          </cell>
          <cell r="B2" t="str">
            <v>MATERIALES DE ADMINISTRACIÓN, EMISIÓN DE DOCUMENTOS Y ARTÍCULO OFICIALES</v>
          </cell>
          <cell r="C2" t="str">
            <v>N</v>
          </cell>
        </row>
        <row r="3">
          <cell r="A3">
            <v>211000</v>
          </cell>
          <cell r="B3" t="str">
            <v>Materiales, útiles y equipos menores de oficina</v>
          </cell>
          <cell r="C3" t="str">
            <v>N</v>
          </cell>
        </row>
        <row r="4">
          <cell r="A4">
            <v>211001</v>
          </cell>
          <cell r="B4" t="str">
            <v>Material de oficina</v>
          </cell>
          <cell r="C4" t="str">
            <v>S</v>
          </cell>
        </row>
        <row r="5">
          <cell r="A5">
            <v>212000</v>
          </cell>
          <cell r="B5" t="str">
            <v>Materiales y útiles de impresión y reproducción</v>
          </cell>
          <cell r="C5" t="str">
            <v>N</v>
          </cell>
        </row>
        <row r="6">
          <cell r="A6">
            <v>212001</v>
          </cell>
          <cell r="B6" t="str">
            <v>Material y útiles de impresión</v>
          </cell>
          <cell r="C6" t="str">
            <v>S</v>
          </cell>
        </row>
        <row r="7">
          <cell r="A7">
            <v>213000</v>
          </cell>
          <cell r="B7" t="str">
            <v>Material estadístico y geográfico</v>
          </cell>
          <cell r="C7" t="str">
            <v>N</v>
          </cell>
        </row>
        <row r="8">
          <cell r="A8">
            <v>213001</v>
          </cell>
          <cell r="B8" t="str">
            <v>Material estadístico y geográfico</v>
          </cell>
          <cell r="C8" t="str">
            <v>S</v>
          </cell>
        </row>
        <row r="9">
          <cell r="A9">
            <v>214000</v>
          </cell>
          <cell r="B9" t="str">
            <v>Materiales, útiles y equipos menores de tecnologías de la información y comunicaciones</v>
          </cell>
          <cell r="C9" t="str">
            <v>N</v>
          </cell>
        </row>
        <row r="10">
          <cell r="A10">
            <v>214001</v>
          </cell>
          <cell r="B10" t="str">
            <v>Materiales, útiles y equipos menores de tecnologías de la información y comunicaciones</v>
          </cell>
          <cell r="C10" t="str">
            <v>S</v>
          </cell>
        </row>
        <row r="11">
          <cell r="A11">
            <v>215000</v>
          </cell>
          <cell r="B11" t="str">
            <v>Material impreso e información digital</v>
          </cell>
          <cell r="C11" t="str">
            <v>N</v>
          </cell>
        </row>
        <row r="12">
          <cell r="A12">
            <v>215001</v>
          </cell>
          <cell r="B12" t="str">
            <v>Material didáctico</v>
          </cell>
          <cell r="C12" t="str">
            <v>S</v>
          </cell>
        </row>
        <row r="13">
          <cell r="A13">
            <v>215002</v>
          </cell>
          <cell r="B13" t="str">
            <v>Suscripciones a Periódicos, Revistas y Publicaciones Especializadas</v>
          </cell>
          <cell r="C13" t="str">
            <v>S</v>
          </cell>
        </row>
        <row r="14">
          <cell r="A14">
            <v>215003</v>
          </cell>
          <cell r="B14" t="str">
            <v>Material impreso e información digital</v>
          </cell>
          <cell r="C14" t="str">
            <v>S</v>
          </cell>
        </row>
        <row r="15">
          <cell r="A15">
            <v>216000</v>
          </cell>
          <cell r="B15" t="str">
            <v>Material de limpieza</v>
          </cell>
          <cell r="C15" t="str">
            <v>N</v>
          </cell>
        </row>
        <row r="16">
          <cell r="A16">
            <v>216001</v>
          </cell>
          <cell r="B16" t="str">
            <v>Material de limpieza</v>
          </cell>
          <cell r="C16" t="str">
            <v>S</v>
          </cell>
        </row>
        <row r="17">
          <cell r="A17">
            <v>217000</v>
          </cell>
          <cell r="B17" t="str">
            <v>Materiales y útiles de enseñanza</v>
          </cell>
          <cell r="C17" t="str">
            <v>N</v>
          </cell>
        </row>
        <row r="18">
          <cell r="A18">
            <v>217001</v>
          </cell>
          <cell r="B18" t="str">
            <v>Materiales y útiles de enseñanza</v>
          </cell>
          <cell r="C18" t="str">
            <v>S</v>
          </cell>
        </row>
        <row r="19">
          <cell r="A19">
            <v>218000</v>
          </cell>
          <cell r="B19" t="str">
            <v>Materiales para el registro e identificación de bienes y personas</v>
          </cell>
          <cell r="C19" t="str">
            <v>N</v>
          </cell>
        </row>
        <row r="20">
          <cell r="A20">
            <v>218001</v>
          </cell>
          <cell r="B20" t="str">
            <v>Materiales para el registro e identificación de bienes y personas</v>
          </cell>
          <cell r="C20" t="str">
            <v>S</v>
          </cell>
        </row>
        <row r="21">
          <cell r="A21">
            <v>218002</v>
          </cell>
          <cell r="B21" t="str">
            <v>Placas, Engomados, Calcomanías y Hologramas</v>
          </cell>
          <cell r="C21" t="str">
            <v>S</v>
          </cell>
        </row>
        <row r="22">
          <cell r="A22">
            <v>218003</v>
          </cell>
          <cell r="B22" t="str">
            <v>Emisión de Licencias de Conducir</v>
          </cell>
          <cell r="C22" t="str">
            <v>S</v>
          </cell>
        </row>
        <row r="23">
          <cell r="A23">
            <v>218004</v>
          </cell>
          <cell r="B23" t="str">
            <v>Emisión de Formatos Únicos de Control Vehicular</v>
          </cell>
          <cell r="C23" t="str">
            <v>S</v>
          </cell>
        </row>
        <row r="24">
          <cell r="A24">
            <v>220000</v>
          </cell>
          <cell r="B24" t="str">
            <v>ALIMENTOS Y UTENSILIOS</v>
          </cell>
          <cell r="C24" t="str">
            <v>N</v>
          </cell>
        </row>
        <row r="25">
          <cell r="A25">
            <v>221000</v>
          </cell>
          <cell r="B25" t="str">
            <v>Productos alimenticios para personas</v>
          </cell>
          <cell r="C25" t="str">
            <v>N</v>
          </cell>
        </row>
        <row r="26">
          <cell r="A26">
            <v>221001</v>
          </cell>
          <cell r="B26" t="str">
            <v>Alimentación de personas</v>
          </cell>
          <cell r="C26" t="str">
            <v>S</v>
          </cell>
        </row>
        <row r="27">
          <cell r="A27">
            <v>222000</v>
          </cell>
          <cell r="B27" t="str">
            <v>Productos alimenticios para animales</v>
          </cell>
          <cell r="C27" t="str">
            <v>N</v>
          </cell>
        </row>
        <row r="28">
          <cell r="A28">
            <v>222001</v>
          </cell>
          <cell r="B28" t="str">
            <v>Alimentación de animales</v>
          </cell>
          <cell r="C28" t="str">
            <v>S</v>
          </cell>
        </row>
        <row r="29">
          <cell r="A29">
            <v>223000</v>
          </cell>
          <cell r="B29" t="str">
            <v>Utensilios para el servicio de alimentación</v>
          </cell>
          <cell r="C29" t="str">
            <v>N</v>
          </cell>
        </row>
        <row r="30">
          <cell r="A30">
            <v>223001</v>
          </cell>
          <cell r="B30" t="str">
            <v>Utensilios para el servicio de alimentación</v>
          </cell>
          <cell r="C30" t="str">
            <v>S</v>
          </cell>
        </row>
        <row r="31">
          <cell r="A31">
            <v>230000</v>
          </cell>
          <cell r="B31" t="str">
            <v>MATERIAS PRIMAS Y MATERIALES DE PRODUCCIÓN Y COMERCIALIZACIÓN</v>
          </cell>
          <cell r="C31" t="str">
            <v>N</v>
          </cell>
        </row>
        <row r="32">
          <cell r="A32">
            <v>231000</v>
          </cell>
          <cell r="B32" t="str">
            <v>Productos alimenticios, agropecuarios y forestales adquiridos como materia prima</v>
          </cell>
          <cell r="C32" t="str">
            <v>N</v>
          </cell>
        </row>
        <row r="33">
          <cell r="A33">
            <v>231001</v>
          </cell>
          <cell r="B33" t="str">
            <v>Materias primas para producción</v>
          </cell>
          <cell r="C33" t="str">
            <v>S</v>
          </cell>
        </row>
        <row r="34">
          <cell r="A34">
            <v>232000</v>
          </cell>
          <cell r="B34" t="str">
            <v>Insumos textiles adquiridos como materia prima</v>
          </cell>
          <cell r="C34" t="str">
            <v>N</v>
          </cell>
        </row>
        <row r="35">
          <cell r="A35">
            <v>232001</v>
          </cell>
          <cell r="B35" t="str">
            <v>Insumos textiles adquiridos como materia prima</v>
          </cell>
          <cell r="C35" t="str">
            <v>S</v>
          </cell>
        </row>
        <row r="36">
          <cell r="A36">
            <v>233000</v>
          </cell>
          <cell r="B36" t="str">
            <v>Productos de papel, cartón e impresos adquiridos como materia prima</v>
          </cell>
          <cell r="C36" t="str">
            <v>N</v>
          </cell>
        </row>
        <row r="37">
          <cell r="A37">
            <v>233001</v>
          </cell>
          <cell r="B37" t="str">
            <v>Productos de papel, cartón e impresos adquiridos como materia prima</v>
          </cell>
          <cell r="C37" t="str">
            <v>S</v>
          </cell>
        </row>
        <row r="38">
          <cell r="A38">
            <v>234000</v>
          </cell>
          <cell r="B38" t="str">
            <v>Combustibles, lubricantes, aditivos, carbón y sus derivados adquiridos como materia prima</v>
          </cell>
          <cell r="C38" t="str">
            <v>N</v>
          </cell>
        </row>
        <row r="39">
          <cell r="A39">
            <v>234001</v>
          </cell>
          <cell r="B39" t="str">
            <v>Combustibles, lubricantes, aditivos, carbón y sus derivados adquiridos como materia prima</v>
          </cell>
          <cell r="C39" t="str">
            <v>S</v>
          </cell>
        </row>
        <row r="40">
          <cell r="A40">
            <v>235000</v>
          </cell>
          <cell r="B40" t="str">
            <v>Productos químicos, farmacéuticos y de laboratorio adquiridos como materia prima</v>
          </cell>
          <cell r="C40" t="str">
            <v>N</v>
          </cell>
        </row>
        <row r="41">
          <cell r="A41">
            <v>235001</v>
          </cell>
          <cell r="B41" t="str">
            <v>Productos químicos, farmacéuticos y de laboratorio adquiridos como materia prima</v>
          </cell>
          <cell r="C41" t="str">
            <v>S</v>
          </cell>
        </row>
        <row r="42">
          <cell r="A42">
            <v>236000</v>
          </cell>
          <cell r="B42" t="str">
            <v>Productos metálicos y a base de minerales no metálicos adquiridos como materia prima</v>
          </cell>
          <cell r="C42" t="str">
            <v>N</v>
          </cell>
        </row>
        <row r="43">
          <cell r="A43">
            <v>236001</v>
          </cell>
          <cell r="B43" t="str">
            <v>Productos metálicos y a base de minerales no metálicos adquiridos como materia prima</v>
          </cell>
          <cell r="C43" t="str">
            <v>S</v>
          </cell>
        </row>
        <row r="44">
          <cell r="A44">
            <v>237000</v>
          </cell>
          <cell r="B44" t="str">
            <v>Productos de cuero, piel, plástico y hule adquiridos como materia prima</v>
          </cell>
          <cell r="C44" t="str">
            <v>N</v>
          </cell>
        </row>
        <row r="45">
          <cell r="A45">
            <v>237001</v>
          </cell>
          <cell r="B45" t="str">
            <v>Productos de cuero, piel, plástico y hule adquiridos como materia prima</v>
          </cell>
          <cell r="C45" t="str">
            <v>S</v>
          </cell>
        </row>
        <row r="46">
          <cell r="A46">
            <v>238000</v>
          </cell>
          <cell r="B46" t="str">
            <v>Mercancías adquiridas para su comercialización</v>
          </cell>
          <cell r="C46" t="str">
            <v>N</v>
          </cell>
        </row>
        <row r="47">
          <cell r="A47">
            <v>238001</v>
          </cell>
          <cell r="B47" t="str">
            <v>Mercancías adquiridas para su comercialización</v>
          </cell>
          <cell r="C47" t="str">
            <v>S</v>
          </cell>
        </row>
        <row r="48">
          <cell r="A48">
            <v>240000</v>
          </cell>
          <cell r="B48" t="str">
            <v>MATERIALES Y ARTÍCULOS DE CONSTRUCCIÓN Y DE REPARACIÓN</v>
          </cell>
          <cell r="C48" t="str">
            <v>N</v>
          </cell>
        </row>
        <row r="49">
          <cell r="A49">
            <v>241000</v>
          </cell>
          <cell r="B49" t="str">
            <v>Productos minerales no metálicos</v>
          </cell>
          <cell r="C49" t="str">
            <v>N</v>
          </cell>
        </row>
        <row r="50">
          <cell r="A50">
            <v>241001</v>
          </cell>
          <cell r="B50" t="str">
            <v>Productos minerales no metálicos</v>
          </cell>
          <cell r="C50" t="str">
            <v>S</v>
          </cell>
        </row>
        <row r="51">
          <cell r="A51">
            <v>242000</v>
          </cell>
          <cell r="B51" t="str">
            <v>Cemento y productos de concreto</v>
          </cell>
          <cell r="C51" t="str">
            <v>N</v>
          </cell>
        </row>
        <row r="52">
          <cell r="A52">
            <v>242001</v>
          </cell>
          <cell r="B52" t="str">
            <v>Cemento y productos de concreto</v>
          </cell>
          <cell r="C52" t="str">
            <v>S</v>
          </cell>
        </row>
        <row r="53">
          <cell r="A53">
            <v>243000</v>
          </cell>
          <cell r="B53" t="str">
            <v>Cal, yeso y productos de yeso</v>
          </cell>
          <cell r="C53" t="str">
            <v>N</v>
          </cell>
        </row>
        <row r="54">
          <cell r="A54">
            <v>243001</v>
          </cell>
          <cell r="B54" t="str">
            <v>Cal, yeso y productos de yeso</v>
          </cell>
          <cell r="C54" t="str">
            <v>S</v>
          </cell>
        </row>
        <row r="55">
          <cell r="A55">
            <v>244000</v>
          </cell>
          <cell r="B55" t="str">
            <v>Madera y productos de madera</v>
          </cell>
          <cell r="C55" t="str">
            <v>N</v>
          </cell>
        </row>
        <row r="56">
          <cell r="A56">
            <v>244001</v>
          </cell>
          <cell r="B56" t="str">
            <v>Madera y productos de madera</v>
          </cell>
          <cell r="C56" t="str">
            <v>S</v>
          </cell>
        </row>
        <row r="57">
          <cell r="A57">
            <v>245000</v>
          </cell>
          <cell r="B57" t="str">
            <v>Vidrio y productos de vidrio</v>
          </cell>
          <cell r="C57" t="str">
            <v>N</v>
          </cell>
        </row>
        <row r="58">
          <cell r="A58">
            <v>245001</v>
          </cell>
          <cell r="B58" t="str">
            <v>Vidrio y productos de vidrio</v>
          </cell>
          <cell r="C58" t="str">
            <v>S</v>
          </cell>
        </row>
        <row r="59">
          <cell r="A59">
            <v>246000</v>
          </cell>
          <cell r="B59" t="str">
            <v>Material eléctrico y electrónico</v>
          </cell>
          <cell r="C59" t="str">
            <v>N</v>
          </cell>
        </row>
        <row r="60">
          <cell r="A60">
            <v>246001</v>
          </cell>
          <cell r="B60" t="str">
            <v>Material eléctrico</v>
          </cell>
          <cell r="C60" t="str">
            <v>S</v>
          </cell>
        </row>
        <row r="61">
          <cell r="A61">
            <v>246002</v>
          </cell>
          <cell r="B61" t="str">
            <v>Material electrónico</v>
          </cell>
          <cell r="C61" t="str">
            <v>S</v>
          </cell>
        </row>
        <row r="62">
          <cell r="A62">
            <v>247000</v>
          </cell>
          <cell r="B62" t="str">
            <v>Artículos metálicos para la construcción</v>
          </cell>
          <cell r="C62" t="str">
            <v>N</v>
          </cell>
        </row>
        <row r="63">
          <cell r="A63">
            <v>247001</v>
          </cell>
          <cell r="B63" t="str">
            <v>Artículos metálicos para la construcción</v>
          </cell>
          <cell r="C63" t="str">
            <v>S</v>
          </cell>
        </row>
        <row r="64">
          <cell r="A64">
            <v>248000</v>
          </cell>
          <cell r="B64" t="str">
            <v>Materiales complementarios</v>
          </cell>
          <cell r="C64" t="str">
            <v>N</v>
          </cell>
        </row>
        <row r="65">
          <cell r="A65">
            <v>248001</v>
          </cell>
          <cell r="B65" t="str">
            <v>Materiales complementarios</v>
          </cell>
          <cell r="C65" t="str">
            <v>S</v>
          </cell>
        </row>
        <row r="66">
          <cell r="A66">
            <v>249000</v>
          </cell>
          <cell r="B66" t="str">
            <v>Otros materiales y artículos de construcción y reparación</v>
          </cell>
          <cell r="C66" t="str">
            <v>N</v>
          </cell>
        </row>
        <row r="67">
          <cell r="A67">
            <v>249001</v>
          </cell>
          <cell r="B67" t="str">
            <v>Materiales de construcción y complementarios</v>
          </cell>
          <cell r="C67" t="str">
            <v>S</v>
          </cell>
        </row>
        <row r="68">
          <cell r="A68">
            <v>249002</v>
          </cell>
          <cell r="B68" t="str">
            <v>Otros materiales de construcción y reparación</v>
          </cell>
          <cell r="C68" t="str">
            <v>S</v>
          </cell>
        </row>
        <row r="69">
          <cell r="A69">
            <v>250000</v>
          </cell>
          <cell r="B69" t="str">
            <v>PRODUCTOS QUÍMICOS, FARMACÉUTICOS Y DE LABORATORIO</v>
          </cell>
          <cell r="C69" t="str">
            <v>N</v>
          </cell>
        </row>
        <row r="70">
          <cell r="A70">
            <v>251000</v>
          </cell>
          <cell r="B70" t="str">
            <v>Productos químicos básicos</v>
          </cell>
          <cell r="C70" t="str">
            <v>N</v>
          </cell>
        </row>
        <row r="71">
          <cell r="A71">
            <v>251001</v>
          </cell>
          <cell r="B71" t="str">
            <v>Gas Refrigerante</v>
          </cell>
          <cell r="C71" t="str">
            <v>S</v>
          </cell>
        </row>
        <row r="72">
          <cell r="A72">
            <v>252000</v>
          </cell>
          <cell r="B72" t="str">
            <v>Fertilizantes, pesticidas y otros agroquímicos</v>
          </cell>
          <cell r="C72" t="str">
            <v>N</v>
          </cell>
        </row>
        <row r="73">
          <cell r="A73">
            <v>252001</v>
          </cell>
          <cell r="B73" t="str">
            <v>Fertilizantes, pesticidas y otros agroquímicos</v>
          </cell>
          <cell r="C73" t="str">
            <v>S</v>
          </cell>
        </row>
        <row r="74">
          <cell r="A74">
            <v>253000</v>
          </cell>
          <cell r="B74" t="str">
            <v>Medicinas y productos químicos, farmacéuticos</v>
          </cell>
          <cell r="C74" t="str">
            <v>N</v>
          </cell>
        </row>
        <row r="75">
          <cell r="A75">
            <v>253001</v>
          </cell>
          <cell r="B75" t="str">
            <v>Material y productos químicos, farmacéuticos</v>
          </cell>
          <cell r="C75" t="str">
            <v>S</v>
          </cell>
        </row>
        <row r="76">
          <cell r="A76">
            <v>254000</v>
          </cell>
          <cell r="B76" t="str">
            <v>Materiales, accesorios y suministros médicos</v>
          </cell>
          <cell r="C76" t="str">
            <v>N</v>
          </cell>
        </row>
        <row r="77">
          <cell r="A77">
            <v>254001</v>
          </cell>
          <cell r="B77" t="str">
            <v>Materiales, accesorios y suministros médicos</v>
          </cell>
          <cell r="C77" t="str">
            <v>S</v>
          </cell>
        </row>
        <row r="78">
          <cell r="A78">
            <v>255000</v>
          </cell>
          <cell r="B78" t="str">
            <v>Materiales, accesorios y suministros de laboratorio</v>
          </cell>
          <cell r="C78" t="str">
            <v>N</v>
          </cell>
        </row>
        <row r="79">
          <cell r="A79">
            <v>255001</v>
          </cell>
          <cell r="B79" t="str">
            <v>Materiales, accesorios y suministros de laboratorio</v>
          </cell>
          <cell r="C79" t="str">
            <v>S</v>
          </cell>
        </row>
        <row r="80">
          <cell r="A80">
            <v>256000</v>
          </cell>
          <cell r="B80" t="str">
            <v>Fibras sintéticas, hules, plásticos y derivados</v>
          </cell>
          <cell r="C80" t="str">
            <v>N</v>
          </cell>
        </row>
        <row r="81">
          <cell r="A81">
            <v>256001</v>
          </cell>
          <cell r="B81" t="str">
            <v>Fibras sintéticas, hules, plásticos y derivados</v>
          </cell>
          <cell r="C81" t="str">
            <v>S</v>
          </cell>
        </row>
        <row r="82">
          <cell r="A82">
            <v>259000</v>
          </cell>
          <cell r="B82" t="str">
            <v>Otros productos químicos</v>
          </cell>
          <cell r="C82" t="str">
            <v>N</v>
          </cell>
        </row>
        <row r="83">
          <cell r="A83">
            <v>259001</v>
          </cell>
          <cell r="B83" t="str">
            <v>Otros productos químicos</v>
          </cell>
          <cell r="C83" t="str">
            <v>S</v>
          </cell>
        </row>
        <row r="84">
          <cell r="A84">
            <v>260000</v>
          </cell>
          <cell r="B84" t="str">
            <v>COMBUSTIBLES, LUBRICANTES Y ADITIVOS</v>
          </cell>
          <cell r="C84" t="str">
            <v>N</v>
          </cell>
        </row>
        <row r="85">
          <cell r="A85">
            <v>261000</v>
          </cell>
          <cell r="B85" t="str">
            <v>Combustibles, lubricantes y aditivos</v>
          </cell>
          <cell r="C85" t="str">
            <v>N</v>
          </cell>
        </row>
        <row r="86">
          <cell r="A86">
            <v>261001</v>
          </cell>
          <cell r="B86" t="str">
            <v>Combustibles</v>
          </cell>
          <cell r="C86" t="str">
            <v>S</v>
          </cell>
        </row>
        <row r="87">
          <cell r="A87">
            <v>261002</v>
          </cell>
          <cell r="B87" t="str">
            <v>Lubricantes y aditivos</v>
          </cell>
          <cell r="C87" t="str">
            <v>S</v>
          </cell>
        </row>
        <row r="88">
          <cell r="A88">
            <v>262000</v>
          </cell>
          <cell r="B88" t="str">
            <v>Carbón y sus derivados</v>
          </cell>
          <cell r="C88" t="str">
            <v>N</v>
          </cell>
        </row>
        <row r="89">
          <cell r="A89">
            <v>262001</v>
          </cell>
          <cell r="B89" t="str">
            <v>Carbón y sus derivados</v>
          </cell>
          <cell r="C89" t="str">
            <v>S</v>
          </cell>
        </row>
        <row r="90">
          <cell r="A90">
            <v>270000</v>
          </cell>
          <cell r="B90" t="str">
            <v>VESTUARIO, BLANCOS, PRENDAS DE PROTECCIÓN Y ARTÍCULOS DEPORTIVOS</v>
          </cell>
          <cell r="C90" t="str">
            <v>N</v>
          </cell>
        </row>
        <row r="91">
          <cell r="A91">
            <v>271000</v>
          </cell>
          <cell r="B91" t="str">
            <v>Vestuario y uniformes</v>
          </cell>
          <cell r="C91" t="str">
            <v>N</v>
          </cell>
        </row>
        <row r="92">
          <cell r="A92">
            <v>271001</v>
          </cell>
          <cell r="B92" t="str">
            <v>Ropa, vestuario y equipo</v>
          </cell>
          <cell r="C92" t="str">
            <v>S</v>
          </cell>
        </row>
        <row r="93">
          <cell r="A93">
            <v>272000</v>
          </cell>
          <cell r="B93" t="str">
            <v>Prendas de seguridad y protección personal</v>
          </cell>
          <cell r="C93" t="str">
            <v>N</v>
          </cell>
        </row>
        <row r="94">
          <cell r="A94">
            <v>272001</v>
          </cell>
          <cell r="B94" t="str">
            <v>Materiales explosivos y de seguridad pública</v>
          </cell>
          <cell r="C94" t="str">
            <v>S</v>
          </cell>
        </row>
        <row r="95">
          <cell r="A95">
            <v>272002</v>
          </cell>
          <cell r="B95" t="str">
            <v>Prendas de seguridad y protección personal</v>
          </cell>
          <cell r="C95" t="str">
            <v>S</v>
          </cell>
        </row>
        <row r="96">
          <cell r="A96">
            <v>273000</v>
          </cell>
          <cell r="B96" t="str">
            <v>Artículos deportivos</v>
          </cell>
          <cell r="C96" t="str">
            <v>N</v>
          </cell>
        </row>
        <row r="97">
          <cell r="A97">
            <v>273001</v>
          </cell>
          <cell r="B97" t="str">
            <v>Artículos deportivos</v>
          </cell>
          <cell r="C97" t="str">
            <v>S</v>
          </cell>
        </row>
        <row r="98">
          <cell r="A98">
            <v>274000</v>
          </cell>
          <cell r="B98" t="str">
            <v>Productos textiles</v>
          </cell>
          <cell r="C98" t="str">
            <v>N</v>
          </cell>
        </row>
        <row r="99">
          <cell r="A99">
            <v>274001</v>
          </cell>
          <cell r="B99" t="str">
            <v>Productos textiles</v>
          </cell>
          <cell r="C99" t="str">
            <v>S</v>
          </cell>
        </row>
        <row r="100">
          <cell r="A100">
            <v>275000</v>
          </cell>
          <cell r="B100" t="str">
            <v>Blancos y otros productos textiles, excepto prendas de vestir</v>
          </cell>
          <cell r="C100" t="str">
            <v>N</v>
          </cell>
        </row>
        <row r="101">
          <cell r="A101">
            <v>275001</v>
          </cell>
          <cell r="B101" t="str">
            <v>Blancos y otros productos textiles, excepto prendas de vestir</v>
          </cell>
          <cell r="C101" t="str">
            <v>S</v>
          </cell>
        </row>
        <row r="102">
          <cell r="A102">
            <v>280000</v>
          </cell>
          <cell r="B102" t="str">
            <v>MATERIALES Y SUMINISTROS PARA SEGURIDAD</v>
          </cell>
          <cell r="C102" t="str">
            <v>N</v>
          </cell>
        </row>
        <row r="103">
          <cell r="A103">
            <v>281000</v>
          </cell>
          <cell r="B103" t="str">
            <v>Sustancias y materiales explosivos</v>
          </cell>
          <cell r="C103" t="str">
            <v>N</v>
          </cell>
        </row>
        <row r="104">
          <cell r="A104">
            <v>281001</v>
          </cell>
          <cell r="B104" t="str">
            <v>Sustancias y materiales explosivos</v>
          </cell>
          <cell r="C104" t="str">
            <v>S</v>
          </cell>
        </row>
        <row r="105">
          <cell r="A105">
            <v>282000</v>
          </cell>
          <cell r="B105" t="str">
            <v>Materiales de seguridad pública</v>
          </cell>
          <cell r="C105" t="str">
            <v>N</v>
          </cell>
        </row>
        <row r="106">
          <cell r="A106">
            <v>282001</v>
          </cell>
          <cell r="B106" t="str">
            <v>Materiales de seguridad pública</v>
          </cell>
          <cell r="C106" t="str">
            <v>S</v>
          </cell>
        </row>
        <row r="107">
          <cell r="A107">
            <v>283000</v>
          </cell>
          <cell r="B107" t="str">
            <v>Prendas de protección para seguridad pública y nacional</v>
          </cell>
          <cell r="C107" t="str">
            <v>N</v>
          </cell>
        </row>
        <row r="108">
          <cell r="A108">
            <v>283001</v>
          </cell>
          <cell r="B108" t="str">
            <v>Prendas de protección para seguridad pública</v>
          </cell>
          <cell r="C108" t="str">
            <v>S</v>
          </cell>
        </row>
        <row r="109">
          <cell r="A109">
            <v>290000</v>
          </cell>
          <cell r="B109" t="str">
            <v>HERRAMIENTAS, REFACCIONES Y ACCESORIOS MENORES</v>
          </cell>
          <cell r="C109" t="str">
            <v>N</v>
          </cell>
        </row>
        <row r="110">
          <cell r="A110">
            <v>291000</v>
          </cell>
          <cell r="B110" t="str">
            <v>Herramientas menores</v>
          </cell>
          <cell r="C110" t="str">
            <v>N</v>
          </cell>
        </row>
        <row r="111">
          <cell r="A111">
            <v>291001</v>
          </cell>
          <cell r="B111" t="str">
            <v>Herramientas Auxiliares de Trabajo</v>
          </cell>
          <cell r="C111" t="str">
            <v>S</v>
          </cell>
        </row>
        <row r="112">
          <cell r="A112">
            <v>292000</v>
          </cell>
          <cell r="B112" t="str">
            <v>Refacciones y accesorios menores de edificios</v>
          </cell>
          <cell r="C112" t="str">
            <v>N</v>
          </cell>
        </row>
        <row r="113">
          <cell r="A113">
            <v>292001</v>
          </cell>
          <cell r="B113" t="str">
            <v>Refacciones y accesorios menores de edificios (candados, cerraduras, chapas, llaves)</v>
          </cell>
          <cell r="C113" t="str">
            <v>S</v>
          </cell>
        </row>
        <row r="114">
          <cell r="A114">
            <v>293000</v>
          </cell>
          <cell r="B114" t="str">
            <v>Refacciones y accesorios menores de mobiliario y equipo de administración, educacional y recreativo</v>
          </cell>
          <cell r="C114" t="str">
            <v>N</v>
          </cell>
        </row>
        <row r="115">
          <cell r="A115">
            <v>293001</v>
          </cell>
          <cell r="B115" t="str">
            <v>Refacciones y accesorios menores de mobiliario y equipo de administración, educacional y recreativo</v>
          </cell>
          <cell r="C115" t="str">
            <v>S</v>
          </cell>
        </row>
        <row r="116">
          <cell r="A116">
            <v>294000</v>
          </cell>
          <cell r="B116" t="str">
            <v>Refacciones y accesorios menores de equipo de cómputo y tecnologías de la información</v>
          </cell>
          <cell r="C116" t="str">
            <v>N</v>
          </cell>
        </row>
        <row r="117">
          <cell r="A117">
            <v>294001</v>
          </cell>
          <cell r="B117" t="str">
            <v>Dispositivos Internos y Externos de Equipo de Computo</v>
          </cell>
          <cell r="C117" t="str">
            <v>S</v>
          </cell>
        </row>
        <row r="118">
          <cell r="A118">
            <v>294002</v>
          </cell>
          <cell r="B118" t="str">
            <v>Refacciones y Accesorios Menores de Equipo de Computo</v>
          </cell>
          <cell r="C118" t="str">
            <v>S</v>
          </cell>
        </row>
        <row r="119">
          <cell r="A119">
            <v>295000</v>
          </cell>
          <cell r="B119" t="str">
            <v>Refacciones y accesorios menores de equipo e instrumental médico y de laboratorio</v>
          </cell>
          <cell r="C119" t="str">
            <v>N</v>
          </cell>
        </row>
        <row r="120">
          <cell r="A120">
            <v>295001</v>
          </cell>
          <cell r="B120" t="str">
            <v>Refacciones y accesorios menores de equipo e instrumental médico y de laboratorio</v>
          </cell>
          <cell r="C120" t="str">
            <v>S</v>
          </cell>
        </row>
        <row r="121">
          <cell r="A121">
            <v>296000</v>
          </cell>
          <cell r="B121" t="str">
            <v>Refacciones y accesorios menores de equipo de transporte</v>
          </cell>
          <cell r="C121" t="str">
            <v>N</v>
          </cell>
        </row>
        <row r="122">
          <cell r="A122">
            <v>296001</v>
          </cell>
          <cell r="B122" t="str">
            <v>Herramientas, refacciones y accesorios</v>
          </cell>
          <cell r="C122" t="str">
            <v>S</v>
          </cell>
        </row>
        <row r="123">
          <cell r="A123">
            <v>297000</v>
          </cell>
          <cell r="B123" t="str">
            <v>Refacciones y accesorios menores de equipo de defensa y seguridad</v>
          </cell>
          <cell r="C123" t="str">
            <v>N</v>
          </cell>
        </row>
        <row r="124">
          <cell r="A124">
            <v>297001</v>
          </cell>
          <cell r="B124" t="str">
            <v>Refacciones y accesorios menores de equipo de defensa y seguridad</v>
          </cell>
          <cell r="C124" t="str">
            <v>S</v>
          </cell>
        </row>
        <row r="125">
          <cell r="A125">
            <v>298000</v>
          </cell>
          <cell r="B125" t="str">
            <v>Refacciones y accesorios menores de maquinaria y otros equipos</v>
          </cell>
          <cell r="C125" t="str">
            <v>N</v>
          </cell>
        </row>
        <row r="126">
          <cell r="A126">
            <v>298001</v>
          </cell>
          <cell r="B126" t="str">
            <v>Refacciones y accesorios menores de maquinaria y otros equipos</v>
          </cell>
          <cell r="C126" t="str">
            <v>S</v>
          </cell>
        </row>
        <row r="127">
          <cell r="A127">
            <v>299000</v>
          </cell>
          <cell r="B127" t="str">
            <v>Refacciones y accesorios menores otros bienes muebles</v>
          </cell>
          <cell r="C127" t="str">
            <v>N</v>
          </cell>
        </row>
        <row r="128">
          <cell r="A128">
            <v>299001</v>
          </cell>
          <cell r="B128" t="str">
            <v>Refacciones y accesorios menores otros bienes muebles</v>
          </cell>
          <cell r="C128" t="str">
            <v>S</v>
          </cell>
        </row>
        <row r="129">
          <cell r="A129">
            <v>300000</v>
          </cell>
          <cell r="B129" t="str">
            <v>SERVICIOS GENERALES</v>
          </cell>
          <cell r="C129" t="str">
            <v>N</v>
          </cell>
        </row>
        <row r="130">
          <cell r="A130">
            <v>310000</v>
          </cell>
          <cell r="B130" t="str">
            <v>SERVICIOS BÁSICOS</v>
          </cell>
          <cell r="C130" t="str">
            <v>N</v>
          </cell>
        </row>
        <row r="131">
          <cell r="A131">
            <v>311000</v>
          </cell>
          <cell r="B131" t="str">
            <v>Energía eléctrica</v>
          </cell>
          <cell r="C131" t="str">
            <v>N</v>
          </cell>
        </row>
        <row r="132">
          <cell r="A132">
            <v>311001</v>
          </cell>
          <cell r="B132" t="str">
            <v>Servicio de energía eléctrica</v>
          </cell>
          <cell r="C132" t="str">
            <v>S</v>
          </cell>
        </row>
        <row r="133">
          <cell r="A133">
            <v>311002</v>
          </cell>
          <cell r="B133" t="str">
            <v>Contratación del servicio de energía eléctrica</v>
          </cell>
          <cell r="C133" t="str">
            <v>S</v>
          </cell>
        </row>
        <row r="134">
          <cell r="A134">
            <v>312000</v>
          </cell>
          <cell r="B134" t="str">
            <v>Gas</v>
          </cell>
          <cell r="C134" t="str">
            <v>N</v>
          </cell>
        </row>
        <row r="135">
          <cell r="A135">
            <v>312001</v>
          </cell>
          <cell r="B135" t="str">
            <v>Servicio de Gas L.P.</v>
          </cell>
          <cell r="C135" t="str">
            <v>S</v>
          </cell>
        </row>
        <row r="136">
          <cell r="A136">
            <v>313000</v>
          </cell>
          <cell r="B136" t="str">
            <v>Agua</v>
          </cell>
          <cell r="C136" t="str">
            <v>N</v>
          </cell>
        </row>
        <row r="137">
          <cell r="A137">
            <v>313001</v>
          </cell>
          <cell r="B137" t="str">
            <v>Servicio de agua potable</v>
          </cell>
          <cell r="C137" t="str">
            <v>S</v>
          </cell>
        </row>
        <row r="138">
          <cell r="A138">
            <v>313002</v>
          </cell>
          <cell r="B138" t="str">
            <v>Contratación del servicio de agua potable</v>
          </cell>
          <cell r="C138" t="str">
            <v>S</v>
          </cell>
        </row>
        <row r="139">
          <cell r="A139">
            <v>314000</v>
          </cell>
          <cell r="B139" t="str">
            <v>Telefonía tradicional</v>
          </cell>
          <cell r="C139" t="str">
            <v>N</v>
          </cell>
        </row>
        <row r="140">
          <cell r="A140">
            <v>314001</v>
          </cell>
          <cell r="B140" t="str">
            <v>Servicio telefónico</v>
          </cell>
          <cell r="C140" t="str">
            <v>S</v>
          </cell>
        </row>
        <row r="141">
          <cell r="A141">
            <v>315000</v>
          </cell>
          <cell r="B141" t="str">
            <v>Telefonía celular</v>
          </cell>
          <cell r="C141" t="str">
            <v>N</v>
          </cell>
        </row>
        <row r="142">
          <cell r="A142">
            <v>315001</v>
          </cell>
          <cell r="B142" t="str">
            <v>Telefonía celular</v>
          </cell>
          <cell r="C142" t="str">
            <v>S</v>
          </cell>
        </row>
        <row r="143">
          <cell r="A143">
            <v>316000</v>
          </cell>
          <cell r="B143" t="str">
            <v>Servicios de telecomunicaciones y satélites</v>
          </cell>
          <cell r="C143" t="str">
            <v>N</v>
          </cell>
        </row>
        <row r="144">
          <cell r="A144">
            <v>316001</v>
          </cell>
          <cell r="B144" t="str">
            <v>Servicios de telecomunicaciones y satélites</v>
          </cell>
          <cell r="C144" t="str">
            <v>S</v>
          </cell>
        </row>
        <row r="145">
          <cell r="A145">
            <v>317000</v>
          </cell>
          <cell r="B145" t="str">
            <v>Servicios de acceso de Internet, redes y procesamiento de información</v>
          </cell>
          <cell r="C145" t="str">
            <v>N</v>
          </cell>
        </row>
        <row r="146">
          <cell r="A146">
            <v>317001</v>
          </cell>
          <cell r="B146" t="str">
            <v>Servicios de acceso de Internet, redes y procesamiento de información</v>
          </cell>
          <cell r="C146" t="str">
            <v>S</v>
          </cell>
        </row>
        <row r="147">
          <cell r="A147">
            <v>318000</v>
          </cell>
          <cell r="B147" t="str">
            <v>Servicios postales y telegráficos</v>
          </cell>
          <cell r="C147" t="str">
            <v>N</v>
          </cell>
        </row>
        <row r="148">
          <cell r="A148">
            <v>318001</v>
          </cell>
          <cell r="B148" t="str">
            <v>Servicio postal y telegráfico</v>
          </cell>
          <cell r="C148" t="str">
            <v>S</v>
          </cell>
        </row>
        <row r="149">
          <cell r="A149">
            <v>319000</v>
          </cell>
          <cell r="B149" t="str">
            <v>Servicios integrales y otros servicios</v>
          </cell>
          <cell r="C149" t="str">
            <v>N</v>
          </cell>
        </row>
        <row r="150">
          <cell r="A150">
            <v>319001</v>
          </cell>
          <cell r="B150" t="str">
            <v>Servicios Integrales</v>
          </cell>
          <cell r="C150" t="str">
            <v>S</v>
          </cell>
        </row>
        <row r="151">
          <cell r="A151">
            <v>320000</v>
          </cell>
          <cell r="B151" t="str">
            <v>SERVICIOS DE ARRENDAMIENTO</v>
          </cell>
          <cell r="C151" t="str">
            <v>N</v>
          </cell>
        </row>
        <row r="152">
          <cell r="A152">
            <v>321000</v>
          </cell>
          <cell r="B152" t="str">
            <v>Arrendamiento de terrenos</v>
          </cell>
          <cell r="C152" t="str">
            <v>N</v>
          </cell>
        </row>
        <row r="153">
          <cell r="A153">
            <v>321001</v>
          </cell>
          <cell r="B153" t="str">
            <v>Arrendamiento de terrenos</v>
          </cell>
          <cell r="C153" t="str">
            <v>S</v>
          </cell>
        </row>
        <row r="154">
          <cell r="A154">
            <v>322000</v>
          </cell>
          <cell r="B154" t="str">
            <v>Arrendamiento de edificios</v>
          </cell>
          <cell r="C154" t="str">
            <v>N</v>
          </cell>
        </row>
        <row r="155">
          <cell r="A155">
            <v>322001</v>
          </cell>
          <cell r="B155" t="str">
            <v>Arrendamiento de edificios</v>
          </cell>
          <cell r="C155" t="str">
            <v>S</v>
          </cell>
        </row>
        <row r="156">
          <cell r="A156">
            <v>323000</v>
          </cell>
          <cell r="B156" t="str">
            <v>Arrendamiento de mobiliario y equipo de administración, educacional y recreativo</v>
          </cell>
          <cell r="C156" t="str">
            <v>N</v>
          </cell>
        </row>
        <row r="157">
          <cell r="A157">
            <v>323001</v>
          </cell>
          <cell r="B157" t="str">
            <v>Arrendamiento de maquinaria y equipo</v>
          </cell>
          <cell r="C157" t="str">
            <v>S</v>
          </cell>
        </row>
        <row r="158">
          <cell r="A158">
            <v>323002</v>
          </cell>
          <cell r="B158" t="str">
            <v>Arrendamiento de maquinaria y equipo de Administración</v>
          </cell>
          <cell r="C158" t="str">
            <v>S</v>
          </cell>
        </row>
        <row r="159">
          <cell r="A159">
            <v>323003</v>
          </cell>
          <cell r="B159" t="str">
            <v>Arrendamiento de Equipo Educacional y Recreativo</v>
          </cell>
          <cell r="C159" t="str">
            <v>S</v>
          </cell>
        </row>
        <row r="160">
          <cell r="A160">
            <v>323004</v>
          </cell>
          <cell r="B160" t="str">
            <v>Arrendamiento de Mobiliario y Equipo</v>
          </cell>
          <cell r="C160" t="str">
            <v>S</v>
          </cell>
        </row>
        <row r="161">
          <cell r="A161">
            <v>324000</v>
          </cell>
          <cell r="B161" t="str">
            <v>Arrendamiento de equipo e instrumental médico y de laboratorio</v>
          </cell>
          <cell r="C161" t="str">
            <v>N</v>
          </cell>
        </row>
        <row r="162">
          <cell r="A162">
            <v>324001</v>
          </cell>
          <cell r="B162" t="str">
            <v>Arrendamiento de equipo e instrumental médico y de laboratorio</v>
          </cell>
          <cell r="C162" t="str">
            <v>S</v>
          </cell>
        </row>
        <row r="163">
          <cell r="A163">
            <v>325000</v>
          </cell>
          <cell r="B163" t="str">
            <v>Arrendamiento de equipo de transporte</v>
          </cell>
          <cell r="C163" t="str">
            <v>N</v>
          </cell>
        </row>
        <row r="164">
          <cell r="A164">
            <v>325001</v>
          </cell>
          <cell r="B164" t="str">
            <v>Arrendamiento de equipo de transporte</v>
          </cell>
          <cell r="C164" t="str">
            <v>S</v>
          </cell>
        </row>
        <row r="165">
          <cell r="A165">
            <v>326000</v>
          </cell>
          <cell r="B165" t="str">
            <v>Arrendamiento de maquinaria, otros equipos y herramientas</v>
          </cell>
          <cell r="C165" t="str">
            <v>N</v>
          </cell>
        </row>
        <row r="166">
          <cell r="A166">
            <v>326001</v>
          </cell>
          <cell r="B166" t="str">
            <v>Arrendamiento de maquinaria, otros equipos y herramientas</v>
          </cell>
          <cell r="C166" t="str">
            <v>S</v>
          </cell>
        </row>
        <row r="167">
          <cell r="A167">
            <v>327000</v>
          </cell>
          <cell r="B167" t="str">
            <v>Arrendamiento de activos intangibles</v>
          </cell>
          <cell r="C167" t="str">
            <v>N</v>
          </cell>
        </row>
        <row r="168">
          <cell r="A168">
            <v>327001</v>
          </cell>
          <cell r="B168" t="str">
            <v>Arrendamiento de activos intangibles</v>
          </cell>
          <cell r="C168" t="str">
            <v>S</v>
          </cell>
        </row>
        <row r="169">
          <cell r="A169">
            <v>328000</v>
          </cell>
          <cell r="B169" t="str">
            <v>Arrendamiento financiero</v>
          </cell>
          <cell r="C169" t="str">
            <v>N</v>
          </cell>
        </row>
        <row r="170">
          <cell r="A170">
            <v>328001</v>
          </cell>
          <cell r="B170" t="str">
            <v>Arrendamiento financiero</v>
          </cell>
          <cell r="C170" t="str">
            <v>S</v>
          </cell>
        </row>
        <row r="171">
          <cell r="A171">
            <v>328002</v>
          </cell>
          <cell r="B171" t="str">
            <v>Programa Estatal de Arrendamiento Vehicular</v>
          </cell>
          <cell r="C171" t="str">
            <v>S</v>
          </cell>
        </row>
        <row r="172">
          <cell r="A172">
            <v>329000</v>
          </cell>
          <cell r="B172" t="str">
            <v>Otros arrendamientos</v>
          </cell>
          <cell r="C172" t="str">
            <v>N</v>
          </cell>
        </row>
        <row r="173">
          <cell r="A173">
            <v>329001</v>
          </cell>
          <cell r="B173" t="str">
            <v>Arrendamientos especiales</v>
          </cell>
          <cell r="C173" t="str">
            <v>S</v>
          </cell>
        </row>
        <row r="174">
          <cell r="A174">
            <v>330000</v>
          </cell>
          <cell r="B174" t="str">
            <v>SERVICIOS PROFESIONALES, CIENTÍFICOS, TÉCNICOS Y OTROS SERVICIOS</v>
          </cell>
          <cell r="C174" t="str">
            <v>N</v>
          </cell>
        </row>
        <row r="175">
          <cell r="A175">
            <v>331000</v>
          </cell>
          <cell r="B175" t="str">
            <v>Servicios legales, de contabilidad, auditoría y relacionados</v>
          </cell>
          <cell r="C175" t="str">
            <v>N</v>
          </cell>
        </row>
        <row r="176">
          <cell r="A176">
            <v>331001</v>
          </cell>
          <cell r="B176" t="str">
            <v>Asesorías</v>
          </cell>
          <cell r="C176" t="str">
            <v>S</v>
          </cell>
        </row>
        <row r="177">
          <cell r="A177">
            <v>331002</v>
          </cell>
          <cell r="B177" t="str">
            <v>Servicios Notariales</v>
          </cell>
          <cell r="C177" t="str">
            <v>S</v>
          </cell>
        </row>
        <row r="178">
          <cell r="A178">
            <v>331003</v>
          </cell>
          <cell r="B178" t="str">
            <v>Consultoría y Gestión</v>
          </cell>
          <cell r="C178" t="str">
            <v>S</v>
          </cell>
        </row>
        <row r="179">
          <cell r="A179">
            <v>332000</v>
          </cell>
          <cell r="B179" t="str">
            <v>Servicios de diseño, arquitectura, ingeniería y actividades relacionadas</v>
          </cell>
          <cell r="C179" t="str">
            <v>N</v>
          </cell>
        </row>
        <row r="180">
          <cell r="A180">
            <v>332001</v>
          </cell>
          <cell r="B180" t="str">
            <v>Servicios de diseño, arquitectura, ingeniería y actividades relacionadas</v>
          </cell>
          <cell r="C180" t="str">
            <v>S</v>
          </cell>
        </row>
        <row r="181">
          <cell r="A181">
            <v>333000</v>
          </cell>
          <cell r="B181" t="str">
            <v>Servicios de consultoría administrativa, procesos, técnica y en tecnologías de la información</v>
          </cell>
          <cell r="C181" t="str">
            <v>N</v>
          </cell>
        </row>
        <row r="182">
          <cell r="A182">
            <v>333001</v>
          </cell>
          <cell r="B182" t="str">
            <v>Estudios e investigaciones</v>
          </cell>
          <cell r="C182" t="str">
            <v>S</v>
          </cell>
        </row>
        <row r="183">
          <cell r="A183">
            <v>333002</v>
          </cell>
          <cell r="B183" t="str">
            <v>Sistematización de la Armonización Contable y Presupuestal</v>
          </cell>
          <cell r="C183" t="str">
            <v>S</v>
          </cell>
        </row>
        <row r="184">
          <cell r="A184">
            <v>333003</v>
          </cell>
          <cell r="B184" t="str">
            <v>Servicios de consultoría administrativa, procesos, técnica y en tecnologías de la información</v>
          </cell>
          <cell r="C184" t="str">
            <v>S</v>
          </cell>
        </row>
        <row r="185">
          <cell r="A185">
            <v>334000</v>
          </cell>
          <cell r="B185" t="str">
            <v>Servicios de capacitación</v>
          </cell>
          <cell r="C185" t="str">
            <v>N</v>
          </cell>
        </row>
        <row r="186">
          <cell r="A186">
            <v>334001</v>
          </cell>
          <cell r="B186" t="str">
            <v>Cuotas e inscripciones</v>
          </cell>
          <cell r="C186" t="str">
            <v>S</v>
          </cell>
        </row>
        <row r="187">
          <cell r="A187">
            <v>334002</v>
          </cell>
          <cell r="B187" t="str">
            <v>Servicios de Capacitación</v>
          </cell>
          <cell r="C187" t="str">
            <v>S</v>
          </cell>
        </row>
        <row r="188">
          <cell r="A188">
            <v>335000</v>
          </cell>
          <cell r="B188" t="str">
            <v>Servicios de investigación científica y desarrollo</v>
          </cell>
          <cell r="C188" t="str">
            <v>N</v>
          </cell>
        </row>
        <row r="189">
          <cell r="A189">
            <v>335001</v>
          </cell>
          <cell r="B189" t="str">
            <v>Servicios de investigación científica y desarrollo</v>
          </cell>
          <cell r="C189" t="str">
            <v>S</v>
          </cell>
        </row>
        <row r="190">
          <cell r="A190">
            <v>336000</v>
          </cell>
          <cell r="B190" t="str">
            <v>Servicios de apoyo administrativo, traducción, fotocopiado e impresión</v>
          </cell>
          <cell r="C190" t="str">
            <v>N</v>
          </cell>
        </row>
        <row r="191">
          <cell r="A191">
            <v>336001</v>
          </cell>
          <cell r="B191" t="str">
            <v>Servicio de Fotocopiado, Enmicado y Encuadernación de Documentos.</v>
          </cell>
          <cell r="C191" t="str">
            <v>S</v>
          </cell>
        </row>
        <row r="192">
          <cell r="A192">
            <v>336002</v>
          </cell>
          <cell r="B192" t="str">
            <v>Servicio de Impresión y Elaboración de Material Informativo</v>
          </cell>
          <cell r="C192" t="str">
            <v>S</v>
          </cell>
        </row>
        <row r="193">
          <cell r="A193">
            <v>337000</v>
          </cell>
          <cell r="B193" t="str">
            <v>Servicios de protección y seguridad</v>
          </cell>
          <cell r="C193" t="str">
            <v>N</v>
          </cell>
        </row>
        <row r="194">
          <cell r="A194">
            <v>337001</v>
          </cell>
          <cell r="B194" t="str">
            <v>Dispositivo de seguridad pública</v>
          </cell>
          <cell r="C194" t="str">
            <v>S</v>
          </cell>
        </row>
        <row r="195">
          <cell r="A195">
            <v>338000</v>
          </cell>
          <cell r="B195" t="str">
            <v>Servicios de vigilancia</v>
          </cell>
          <cell r="C195" t="str">
            <v>N</v>
          </cell>
        </row>
        <row r="196">
          <cell r="A196">
            <v>338001</v>
          </cell>
          <cell r="B196" t="str">
            <v>Servicio de seguridad privada</v>
          </cell>
          <cell r="C196" t="str">
            <v>S</v>
          </cell>
        </row>
        <row r="197">
          <cell r="A197">
            <v>339000</v>
          </cell>
          <cell r="B197" t="str">
            <v>Servicios profesionales, científicos y técnicos integrales</v>
          </cell>
          <cell r="C197" t="str">
            <v>N</v>
          </cell>
        </row>
        <row r="198">
          <cell r="A198">
            <v>339001</v>
          </cell>
          <cell r="B198" t="str">
            <v>Servicios profesionales, científicos y técnicos integrales</v>
          </cell>
          <cell r="C198" t="str">
            <v>S</v>
          </cell>
        </row>
        <row r="199">
          <cell r="A199">
            <v>340000</v>
          </cell>
          <cell r="B199" t="str">
            <v>SERVICIOS FINANCIEROS, BANCARIOS Y COMERCIALES</v>
          </cell>
          <cell r="C199" t="str">
            <v>N</v>
          </cell>
        </row>
        <row r="200">
          <cell r="A200">
            <v>341000</v>
          </cell>
          <cell r="B200" t="str">
            <v>Servicios financieros y bancarios</v>
          </cell>
          <cell r="C200" t="str">
            <v>N</v>
          </cell>
        </row>
        <row r="201">
          <cell r="A201">
            <v>341001</v>
          </cell>
          <cell r="B201" t="str">
            <v>Comisiones, descuentos y otros servicios bancarios</v>
          </cell>
          <cell r="C201" t="str">
            <v>S</v>
          </cell>
        </row>
        <row r="202">
          <cell r="A202">
            <v>342000</v>
          </cell>
          <cell r="B202" t="str">
            <v>Servicios de cobranza, investigación crediticia y similar</v>
          </cell>
          <cell r="C202" t="str">
            <v>N</v>
          </cell>
        </row>
        <row r="203">
          <cell r="A203">
            <v>342001</v>
          </cell>
          <cell r="B203" t="str">
            <v>Servicios de cobranza, investigación crediticia y similar</v>
          </cell>
          <cell r="C203" t="str">
            <v>S</v>
          </cell>
        </row>
        <row r="204">
          <cell r="A204">
            <v>343000</v>
          </cell>
          <cell r="B204" t="str">
            <v>Servicios de recaudación, traslado y custodia de valores</v>
          </cell>
          <cell r="C204" t="str">
            <v>N</v>
          </cell>
        </row>
        <row r="205">
          <cell r="A205">
            <v>343001</v>
          </cell>
          <cell r="B205" t="str">
            <v>Servicios de recaudación, traslado y custodia de valores</v>
          </cell>
          <cell r="C205" t="str">
            <v>S</v>
          </cell>
        </row>
        <row r="206">
          <cell r="A206">
            <v>344000</v>
          </cell>
          <cell r="B206" t="str">
            <v>Seguros de responsabilidad patrimonial y fianzas</v>
          </cell>
          <cell r="C206" t="str">
            <v>N</v>
          </cell>
        </row>
        <row r="207">
          <cell r="A207">
            <v>344001</v>
          </cell>
          <cell r="B207" t="str">
            <v>Seguros de responsabilidad patrimonial y fianzas</v>
          </cell>
          <cell r="C207" t="str">
            <v>S</v>
          </cell>
        </row>
        <row r="208">
          <cell r="A208">
            <v>345000</v>
          </cell>
          <cell r="B208" t="str">
            <v>Seguro de bienes patrimoniales</v>
          </cell>
          <cell r="C208" t="str">
            <v>N</v>
          </cell>
        </row>
        <row r="209">
          <cell r="A209">
            <v>345001</v>
          </cell>
          <cell r="B209" t="str">
            <v>Seguros</v>
          </cell>
          <cell r="C209" t="str">
            <v>S</v>
          </cell>
        </row>
        <row r="210">
          <cell r="A210">
            <v>346000</v>
          </cell>
          <cell r="B210" t="str">
            <v>Almacenaje, envase y embalaje</v>
          </cell>
          <cell r="C210" t="str">
            <v>N</v>
          </cell>
        </row>
        <row r="211">
          <cell r="A211">
            <v>346001</v>
          </cell>
          <cell r="B211" t="str">
            <v>Almacenaje, envase y embalaje</v>
          </cell>
          <cell r="C211" t="str">
            <v>S</v>
          </cell>
        </row>
        <row r="212">
          <cell r="A212">
            <v>347000</v>
          </cell>
          <cell r="B212" t="str">
            <v>Fletes y maniobras</v>
          </cell>
          <cell r="C212" t="str">
            <v>N</v>
          </cell>
        </row>
        <row r="213">
          <cell r="A213">
            <v>347001</v>
          </cell>
          <cell r="B213" t="str">
            <v>Fletes, maniobras y almacenaje</v>
          </cell>
          <cell r="C213" t="str">
            <v>S</v>
          </cell>
        </row>
        <row r="214">
          <cell r="A214">
            <v>348000</v>
          </cell>
          <cell r="B214" t="str">
            <v>Comisiones por ventas</v>
          </cell>
          <cell r="C214" t="str">
            <v>N</v>
          </cell>
        </row>
        <row r="215">
          <cell r="A215">
            <v>348001</v>
          </cell>
          <cell r="B215" t="str">
            <v>Comisiones por ventas</v>
          </cell>
          <cell r="C215" t="str">
            <v>S</v>
          </cell>
        </row>
        <row r="216">
          <cell r="A216">
            <v>349000</v>
          </cell>
          <cell r="B216" t="str">
            <v>Servicios financieros, bancarios y comerciales integrales</v>
          </cell>
          <cell r="C216" t="str">
            <v>N</v>
          </cell>
        </row>
        <row r="217">
          <cell r="A217">
            <v>349001</v>
          </cell>
          <cell r="B217" t="str">
            <v>Servicios financieros, bancarios y comerciales integrales</v>
          </cell>
          <cell r="C217" t="str">
            <v>S</v>
          </cell>
        </row>
        <row r="218">
          <cell r="A218">
            <v>350000</v>
          </cell>
          <cell r="B218" t="str">
            <v>SERVICIOS DE INSTALACIÓN, REPARACIÓN, MANTENIMIENTO Y CONSERVACIÓN</v>
          </cell>
          <cell r="C218" t="str">
            <v>N</v>
          </cell>
        </row>
        <row r="219">
          <cell r="A219">
            <v>351000</v>
          </cell>
          <cell r="B219" t="str">
            <v>Conservación y mantenimiento menor de inmuebles</v>
          </cell>
          <cell r="C219" t="str">
            <v>N</v>
          </cell>
        </row>
        <row r="220">
          <cell r="A220">
            <v>351001</v>
          </cell>
          <cell r="B220" t="str">
            <v>Mantenimiento de inmuebles</v>
          </cell>
          <cell r="C220" t="str">
            <v>S</v>
          </cell>
        </row>
        <row r="221">
          <cell r="A221">
            <v>351002</v>
          </cell>
          <cell r="B221" t="str">
            <v>Fumigación de Inmuebles</v>
          </cell>
          <cell r="C221" t="str">
            <v>S</v>
          </cell>
        </row>
        <row r="222">
          <cell r="A222">
            <v>351003</v>
          </cell>
          <cell r="B222" t="str">
            <v>Mantto. y Conserv. de Inmuebles Sub Proc. Zona Norte</v>
          </cell>
          <cell r="C222" t="str">
            <v>S</v>
          </cell>
        </row>
        <row r="223">
          <cell r="A223">
            <v>352000</v>
          </cell>
          <cell r="B223" t="str">
            <v>Instalación, reparación y mantenimiento de mobiliario y equipo de administración, educacional y recreativo</v>
          </cell>
          <cell r="C223" t="str">
            <v>N</v>
          </cell>
        </row>
        <row r="224">
          <cell r="A224">
            <v>352001</v>
          </cell>
          <cell r="B224" t="str">
            <v>Mantenimiento de mobiliario y equipo</v>
          </cell>
          <cell r="C224" t="str">
            <v>S</v>
          </cell>
        </row>
        <row r="225">
          <cell r="A225">
            <v>352002</v>
          </cell>
          <cell r="B225" t="str">
            <v>Gastos de instalación</v>
          </cell>
          <cell r="C225" t="str">
            <v>S</v>
          </cell>
        </row>
        <row r="226">
          <cell r="A226">
            <v>352003</v>
          </cell>
          <cell r="B226" t="str">
            <v>Mantto. y Conservación Archivo General de Notarias del Gob. del Edo.</v>
          </cell>
          <cell r="C226" t="str">
            <v>S</v>
          </cell>
        </row>
        <row r="227">
          <cell r="A227">
            <v>353000</v>
          </cell>
          <cell r="B227" t="str">
            <v>Instalación, reparación y mantenimiento de equipo de cómputo y tecnología de la información</v>
          </cell>
          <cell r="C227" t="str">
            <v>N</v>
          </cell>
        </row>
        <row r="228">
          <cell r="A228">
            <v>353001</v>
          </cell>
          <cell r="B228" t="str">
            <v>Instalación, reparación y mantenimiento de equipo de cómputo y tecnología  de la información</v>
          </cell>
          <cell r="C228" t="str">
            <v>S</v>
          </cell>
        </row>
        <row r="229">
          <cell r="A229">
            <v>354000</v>
          </cell>
          <cell r="B229" t="str">
            <v>Instalación, reparación y mantenimiento de equipo e instrumental médico y de laboratorio</v>
          </cell>
          <cell r="C229" t="str">
            <v>N</v>
          </cell>
        </row>
        <row r="230">
          <cell r="A230">
            <v>354001</v>
          </cell>
          <cell r="B230" t="str">
            <v>Instalación, reparación y mantenimiento de equipo e instrumental médico y de laboratorio</v>
          </cell>
          <cell r="C230" t="str">
            <v>S</v>
          </cell>
        </row>
        <row r="231">
          <cell r="A231">
            <v>355000</v>
          </cell>
          <cell r="B231" t="str">
            <v>Reparación y mantenimiento de equipo de transporte</v>
          </cell>
          <cell r="C231" t="str">
            <v>N</v>
          </cell>
        </row>
        <row r="232">
          <cell r="A232">
            <v>355001</v>
          </cell>
          <cell r="B232" t="str">
            <v>Mantto. y conservación de vehículos terrestres, aéreos, marítimos, lacustres y fluviales</v>
          </cell>
          <cell r="C232" t="str">
            <v>S</v>
          </cell>
        </row>
        <row r="233">
          <cell r="A233">
            <v>356000</v>
          </cell>
          <cell r="B233" t="str">
            <v>Reparación y mantenimiento de equipo de defensa y seguridad</v>
          </cell>
          <cell r="C233" t="str">
            <v>N</v>
          </cell>
        </row>
        <row r="234">
          <cell r="A234">
            <v>356001</v>
          </cell>
          <cell r="B234" t="str">
            <v>Reparación y mantenimiento de equipo de defensa y seguridad</v>
          </cell>
          <cell r="C234" t="str">
            <v>S</v>
          </cell>
        </row>
        <row r="235">
          <cell r="A235">
            <v>357000</v>
          </cell>
          <cell r="B235" t="str">
            <v>Instalación, reparación y mantenimiento de maquinaria, otros equipos y herramienta</v>
          </cell>
          <cell r="C235" t="str">
            <v>N</v>
          </cell>
        </row>
        <row r="236">
          <cell r="A236">
            <v>357001</v>
          </cell>
          <cell r="B236" t="str">
            <v>Instalación, reparación y mantenimiento de Equipo de Telecomunicaciones</v>
          </cell>
          <cell r="C236" t="str">
            <v>S</v>
          </cell>
        </row>
        <row r="237">
          <cell r="A237">
            <v>357002</v>
          </cell>
          <cell r="B237" t="str">
            <v>Instalación, reparación y mantenimiento de maquinaria, otros equipos y herramienta</v>
          </cell>
          <cell r="C237" t="str">
            <v>S</v>
          </cell>
        </row>
        <row r="238">
          <cell r="A238">
            <v>358000</v>
          </cell>
          <cell r="B238" t="str">
            <v>Servicios de limpieza y manejo de desechos</v>
          </cell>
          <cell r="C238" t="str">
            <v>N</v>
          </cell>
        </row>
        <row r="239">
          <cell r="A239">
            <v>358001</v>
          </cell>
          <cell r="B239" t="str">
            <v>Servicios de higiene y limpieza</v>
          </cell>
          <cell r="C239" t="str">
            <v>S</v>
          </cell>
        </row>
        <row r="240">
          <cell r="A240">
            <v>358002</v>
          </cell>
          <cell r="B240" t="str">
            <v>Servicios de Limpieza y Lavado de Vehículos</v>
          </cell>
          <cell r="C240" t="str">
            <v>S</v>
          </cell>
        </row>
        <row r="241">
          <cell r="A241">
            <v>358003</v>
          </cell>
          <cell r="B241" t="str">
            <v>Servicios de Lavandería</v>
          </cell>
          <cell r="C241" t="str">
            <v>S</v>
          </cell>
        </row>
        <row r="242">
          <cell r="A242">
            <v>359000</v>
          </cell>
          <cell r="B242" t="str">
            <v>Servicios de jardinería y fumigación</v>
          </cell>
          <cell r="C242" t="str">
            <v>N</v>
          </cell>
        </row>
        <row r="243">
          <cell r="A243">
            <v>359001</v>
          </cell>
          <cell r="B243" t="str">
            <v>Árboles, plantas, semillas y abonos</v>
          </cell>
          <cell r="C243" t="str">
            <v>S</v>
          </cell>
        </row>
        <row r="244">
          <cell r="A244">
            <v>359002</v>
          </cell>
          <cell r="B244" t="str">
            <v>Fumigación de áreas verdes</v>
          </cell>
          <cell r="C244" t="str">
            <v>S</v>
          </cell>
        </row>
        <row r="245">
          <cell r="A245">
            <v>360000</v>
          </cell>
          <cell r="B245" t="str">
            <v>SERVICIOS DE COMUNICACIÓN SOCIAL Y PUBLICIDAD</v>
          </cell>
          <cell r="C245" t="str">
            <v>N</v>
          </cell>
        </row>
        <row r="246">
          <cell r="A246">
            <v>361000</v>
          </cell>
          <cell r="B246" t="str">
            <v>Difusión por radio, televisión y otros medios de mensajes sobre programas y actividades gubernamentales</v>
          </cell>
          <cell r="C246" t="str">
            <v>N</v>
          </cell>
        </row>
        <row r="247">
          <cell r="A247">
            <v>361001</v>
          </cell>
          <cell r="B247" t="str">
            <v>Gastos de difusión</v>
          </cell>
          <cell r="C247" t="str">
            <v>S</v>
          </cell>
        </row>
        <row r="248">
          <cell r="A248">
            <v>361002</v>
          </cell>
          <cell r="B248" t="str">
            <v>Impresiones y publicaciones oficiales</v>
          </cell>
          <cell r="C248" t="str">
            <v>S</v>
          </cell>
        </row>
        <row r="249">
          <cell r="A249">
            <v>361003</v>
          </cell>
          <cell r="B249" t="str">
            <v>Rotulaciones oficiales</v>
          </cell>
          <cell r="C249" t="str">
            <v>S</v>
          </cell>
        </row>
        <row r="250">
          <cell r="A250">
            <v>361004</v>
          </cell>
          <cell r="B250" t="str">
            <v>Publicación de convocatorias</v>
          </cell>
          <cell r="C250" t="str">
            <v>S</v>
          </cell>
        </row>
        <row r="251">
          <cell r="A251">
            <v>362000</v>
          </cell>
          <cell r="B251" t="str">
            <v>Difusión por radio, televisión y otros medios de mensajes comerciales para promover la venta de bienes o servicios</v>
          </cell>
          <cell r="C251" t="str">
            <v>N</v>
          </cell>
        </row>
        <row r="252">
          <cell r="A252">
            <v>362001</v>
          </cell>
          <cell r="B252" t="str">
            <v>Difusión por radio, televisión y otros medios de mensajes comerciales para promover la venta de bienes o servicios</v>
          </cell>
          <cell r="C252" t="str">
            <v>S</v>
          </cell>
        </row>
        <row r="253">
          <cell r="A253">
            <v>362002</v>
          </cell>
          <cell r="B253" t="str">
            <v>Difusión por radio, televisión y otros medios de mensajes comerciales para promover la venta de bienes o servicios, fuera del país</v>
          </cell>
          <cell r="C253" t="str">
            <v>S</v>
          </cell>
        </row>
        <row r="254">
          <cell r="A254">
            <v>363000</v>
          </cell>
          <cell r="B254" t="str">
            <v>Servicios de creatividad, preproducción y producción de publicidad, excepto Internet</v>
          </cell>
          <cell r="C254" t="str">
            <v>N</v>
          </cell>
        </row>
        <row r="255">
          <cell r="A255">
            <v>363001</v>
          </cell>
          <cell r="B255" t="str">
            <v>Servicios de Producción y Diseño Publicitario</v>
          </cell>
          <cell r="C255" t="str">
            <v>S</v>
          </cell>
        </row>
        <row r="256">
          <cell r="A256">
            <v>364000</v>
          </cell>
          <cell r="B256" t="str">
            <v>Servicios de revelado de fotografías</v>
          </cell>
          <cell r="C256" t="str">
            <v>N</v>
          </cell>
        </row>
        <row r="257">
          <cell r="A257">
            <v>364001</v>
          </cell>
          <cell r="B257" t="str">
            <v>Revelado de Fotografías</v>
          </cell>
          <cell r="C257" t="str">
            <v>S</v>
          </cell>
        </row>
        <row r="258">
          <cell r="A258">
            <v>365000</v>
          </cell>
          <cell r="B258" t="str">
            <v>Servicios de la industria fílmica, del sonido y del video</v>
          </cell>
          <cell r="C258" t="str">
            <v>N</v>
          </cell>
        </row>
        <row r="259">
          <cell r="A259">
            <v>365001</v>
          </cell>
          <cell r="B259" t="str">
            <v>Servicios de la industria fílmica, del sonido y del video</v>
          </cell>
          <cell r="C259" t="str">
            <v>S</v>
          </cell>
        </row>
        <row r="260">
          <cell r="A260">
            <v>366000</v>
          </cell>
          <cell r="B260" t="str">
            <v>Servicio de creación y difusión de contenido exclusivamente a través de Internet</v>
          </cell>
          <cell r="C260" t="str">
            <v>N</v>
          </cell>
        </row>
        <row r="261">
          <cell r="A261">
            <v>366001</v>
          </cell>
          <cell r="B261" t="str">
            <v>Gastos de difusión a través de internet</v>
          </cell>
          <cell r="C261" t="str">
            <v>S</v>
          </cell>
        </row>
        <row r="262">
          <cell r="A262">
            <v>369000</v>
          </cell>
          <cell r="B262" t="str">
            <v>Otros servicios de información</v>
          </cell>
          <cell r="C262" t="str">
            <v>N</v>
          </cell>
        </row>
        <row r="263">
          <cell r="A263">
            <v>369001</v>
          </cell>
          <cell r="B263" t="str">
            <v>Monitoreo de Información y Encuestas</v>
          </cell>
          <cell r="C263" t="str">
            <v>S</v>
          </cell>
        </row>
        <row r="264">
          <cell r="A264">
            <v>370000</v>
          </cell>
          <cell r="B264" t="str">
            <v>SERVICIOS DE TRASLADO Y VIÁTICOS</v>
          </cell>
          <cell r="C264" t="str">
            <v>N</v>
          </cell>
        </row>
        <row r="265">
          <cell r="A265">
            <v>371000</v>
          </cell>
          <cell r="B265" t="str">
            <v>Pasajes aéreos</v>
          </cell>
          <cell r="C265" t="str">
            <v>N</v>
          </cell>
        </row>
        <row r="266">
          <cell r="A266">
            <v>371001</v>
          </cell>
          <cell r="B266" t="str">
            <v>Pasajes aéreos</v>
          </cell>
          <cell r="C266" t="str">
            <v>S</v>
          </cell>
        </row>
        <row r="267">
          <cell r="A267">
            <v>372000</v>
          </cell>
          <cell r="B267" t="str">
            <v>Pasajes terrestres</v>
          </cell>
          <cell r="C267" t="str">
            <v>N</v>
          </cell>
        </row>
        <row r="268">
          <cell r="A268">
            <v>372001</v>
          </cell>
          <cell r="B268" t="str">
            <v>Pasajes terrestres</v>
          </cell>
          <cell r="C268" t="str">
            <v>S</v>
          </cell>
        </row>
        <row r="269">
          <cell r="A269">
            <v>373000</v>
          </cell>
          <cell r="B269" t="str">
            <v>Pasajes marítimos, lacustres y fluviales</v>
          </cell>
          <cell r="C269" t="str">
            <v>N</v>
          </cell>
        </row>
        <row r="270">
          <cell r="A270">
            <v>373001</v>
          </cell>
          <cell r="B270" t="str">
            <v>Pasajes marítimos</v>
          </cell>
          <cell r="C270" t="str">
            <v>S</v>
          </cell>
        </row>
        <row r="271">
          <cell r="A271">
            <v>374000</v>
          </cell>
          <cell r="B271" t="str">
            <v>Autotransporte</v>
          </cell>
          <cell r="C271" t="str">
            <v>N</v>
          </cell>
        </row>
        <row r="272">
          <cell r="A272">
            <v>374001</v>
          </cell>
          <cell r="B272" t="str">
            <v>Autotransporte</v>
          </cell>
          <cell r="C272" t="str">
            <v>S</v>
          </cell>
        </row>
        <row r="273">
          <cell r="A273">
            <v>375000</v>
          </cell>
          <cell r="B273" t="str">
            <v>Viáticos en el país</v>
          </cell>
          <cell r="C273" t="str">
            <v>N</v>
          </cell>
        </row>
        <row r="274">
          <cell r="A274">
            <v>375001</v>
          </cell>
          <cell r="B274" t="str">
            <v>Viáticos</v>
          </cell>
          <cell r="C274" t="str">
            <v>S</v>
          </cell>
        </row>
        <row r="275">
          <cell r="A275">
            <v>376000</v>
          </cell>
          <cell r="B275" t="str">
            <v>Viáticos en el extranjero</v>
          </cell>
          <cell r="C275" t="str">
            <v>N</v>
          </cell>
        </row>
        <row r="276">
          <cell r="A276">
            <v>376001</v>
          </cell>
          <cell r="B276" t="str">
            <v>Viáticos en el extranjero</v>
          </cell>
          <cell r="C276" t="str">
            <v>S</v>
          </cell>
        </row>
        <row r="277">
          <cell r="A277">
            <v>377000</v>
          </cell>
          <cell r="B277" t="str">
            <v>Gastos de instalación y traslado de menaje</v>
          </cell>
          <cell r="C277" t="str">
            <v>N</v>
          </cell>
        </row>
        <row r="278">
          <cell r="A278">
            <v>377001</v>
          </cell>
          <cell r="B278" t="str">
            <v>Gastos de instalación y traslado de menaje</v>
          </cell>
          <cell r="C278" t="str">
            <v>S</v>
          </cell>
        </row>
        <row r="279">
          <cell r="A279">
            <v>378000</v>
          </cell>
          <cell r="B279" t="str">
            <v>Servicios integrales de traslado y viáticos</v>
          </cell>
          <cell r="C279" t="str">
            <v>N</v>
          </cell>
        </row>
        <row r="280">
          <cell r="A280">
            <v>378001</v>
          </cell>
          <cell r="B280" t="str">
            <v>Diligencias judiciales</v>
          </cell>
          <cell r="C280" t="str">
            <v>S</v>
          </cell>
        </row>
        <row r="281">
          <cell r="A281">
            <v>379000</v>
          </cell>
          <cell r="B281" t="str">
            <v>Otros servicios de traslado y hospedaje</v>
          </cell>
          <cell r="C281" t="str">
            <v>N</v>
          </cell>
        </row>
        <row r="282">
          <cell r="A282">
            <v>379001</v>
          </cell>
          <cell r="B282" t="str">
            <v>Traslado de vehículos</v>
          </cell>
          <cell r="C282" t="str">
            <v>S</v>
          </cell>
        </row>
        <row r="283">
          <cell r="A283">
            <v>379002</v>
          </cell>
          <cell r="B283" t="str">
            <v>Gastos de traslado de personas</v>
          </cell>
          <cell r="C283" t="str">
            <v>S</v>
          </cell>
        </row>
        <row r="284">
          <cell r="A284">
            <v>379003</v>
          </cell>
          <cell r="B284" t="str">
            <v>Hospedaje de personas</v>
          </cell>
          <cell r="C284" t="str">
            <v>S</v>
          </cell>
        </row>
        <row r="285">
          <cell r="A285">
            <v>380000</v>
          </cell>
          <cell r="B285" t="str">
            <v>SERVICIOS OFICIALES</v>
          </cell>
          <cell r="C285" t="str">
            <v>N</v>
          </cell>
        </row>
        <row r="286">
          <cell r="A286">
            <v>381000</v>
          </cell>
          <cell r="B286" t="str">
            <v>Gastos de ceremonial</v>
          </cell>
          <cell r="C286" t="str">
            <v>N</v>
          </cell>
        </row>
        <row r="287">
          <cell r="A287">
            <v>381001</v>
          </cell>
          <cell r="B287" t="str">
            <v>Atención a personalidades nacionales y extranjeras</v>
          </cell>
          <cell r="C287" t="str">
            <v>S</v>
          </cell>
        </row>
        <row r="288">
          <cell r="A288">
            <v>382000</v>
          </cell>
          <cell r="B288" t="str">
            <v>Gastos de orden social y cultural</v>
          </cell>
          <cell r="C288" t="str">
            <v>N</v>
          </cell>
        </row>
        <row r="289">
          <cell r="A289">
            <v>382001</v>
          </cell>
          <cell r="B289" t="str">
            <v>Espectáculos y actividades culturales</v>
          </cell>
          <cell r="C289" t="str">
            <v>S</v>
          </cell>
        </row>
        <row r="290">
          <cell r="A290">
            <v>382002</v>
          </cell>
          <cell r="B290" t="str">
            <v>Gastos de recepción, conmemorativos y de orden social</v>
          </cell>
          <cell r="C290" t="str">
            <v>S</v>
          </cell>
        </row>
        <row r="291">
          <cell r="A291">
            <v>382003</v>
          </cell>
          <cell r="B291" t="str">
            <v>Adaptaciones para eventos sociales y culturales</v>
          </cell>
          <cell r="C291" t="str">
            <v>S</v>
          </cell>
        </row>
        <row r="292">
          <cell r="A292">
            <v>382004</v>
          </cell>
          <cell r="B292" t="str">
            <v>Festividades y Eventos</v>
          </cell>
          <cell r="C292" t="str">
            <v>S</v>
          </cell>
        </row>
        <row r="293">
          <cell r="A293">
            <v>383000</v>
          </cell>
          <cell r="B293" t="str">
            <v>Congresos y convenciones</v>
          </cell>
          <cell r="C293" t="str">
            <v>N</v>
          </cell>
        </row>
        <row r="294">
          <cell r="A294">
            <v>383001</v>
          </cell>
          <cell r="B294" t="str">
            <v>Congresos y convenciones</v>
          </cell>
          <cell r="C294" t="str">
            <v>S</v>
          </cell>
        </row>
        <row r="295">
          <cell r="A295">
            <v>384000</v>
          </cell>
          <cell r="B295" t="str">
            <v>Exposiciones</v>
          </cell>
          <cell r="C295" t="str">
            <v>N</v>
          </cell>
        </row>
        <row r="296">
          <cell r="A296">
            <v>384001</v>
          </cell>
          <cell r="B296" t="str">
            <v>Exposiciones</v>
          </cell>
          <cell r="C296" t="str">
            <v>S</v>
          </cell>
        </row>
        <row r="297">
          <cell r="A297">
            <v>385000</v>
          </cell>
          <cell r="B297" t="str">
            <v>Gastos de representación</v>
          </cell>
          <cell r="C297" t="str">
            <v>N</v>
          </cell>
        </row>
        <row r="298">
          <cell r="A298">
            <v>385001</v>
          </cell>
          <cell r="B298" t="str">
            <v>Gastos de representación</v>
          </cell>
          <cell r="C298" t="str">
            <v>S</v>
          </cell>
        </row>
        <row r="299">
          <cell r="A299">
            <v>390000</v>
          </cell>
          <cell r="B299" t="str">
            <v>OTROS SERVICIOS GENERALES</v>
          </cell>
          <cell r="C299" t="str">
            <v>N</v>
          </cell>
        </row>
        <row r="300">
          <cell r="A300">
            <v>391000</v>
          </cell>
          <cell r="B300" t="str">
            <v>Servicios funerarios y de cementerios</v>
          </cell>
          <cell r="C300" t="str">
            <v>N</v>
          </cell>
        </row>
        <row r="301">
          <cell r="A301">
            <v>391001</v>
          </cell>
          <cell r="B301" t="str">
            <v>Servicios funerarios y de cementerios</v>
          </cell>
          <cell r="C301" t="str">
            <v>S</v>
          </cell>
        </row>
        <row r="302">
          <cell r="A302">
            <v>392000</v>
          </cell>
          <cell r="B302" t="str">
            <v>Impuestos y derechos</v>
          </cell>
          <cell r="C302" t="str">
            <v>N</v>
          </cell>
        </row>
        <row r="303">
          <cell r="A303">
            <v>392001</v>
          </cell>
          <cell r="B303" t="str">
            <v>Impuestos y derechos</v>
          </cell>
          <cell r="C303" t="str">
            <v>S</v>
          </cell>
        </row>
        <row r="304">
          <cell r="A304">
            <v>393000</v>
          </cell>
          <cell r="B304" t="str">
            <v>Impuestos y derechos de importación</v>
          </cell>
          <cell r="C304" t="str">
            <v>N</v>
          </cell>
        </row>
        <row r="305">
          <cell r="A305">
            <v>393001</v>
          </cell>
          <cell r="B305" t="str">
            <v>Impuestos y derechos de importación</v>
          </cell>
          <cell r="C305" t="str">
            <v>S</v>
          </cell>
        </row>
        <row r="306">
          <cell r="A306">
            <v>394000</v>
          </cell>
          <cell r="B306" t="str">
            <v>Sentencias y resoluciones judiciales</v>
          </cell>
          <cell r="C306" t="str">
            <v>N</v>
          </cell>
        </row>
        <row r="307">
          <cell r="A307">
            <v>394001</v>
          </cell>
          <cell r="B307" t="str">
            <v>Sentencias y resoluciones judiciales</v>
          </cell>
          <cell r="C307" t="str">
            <v>S</v>
          </cell>
        </row>
        <row r="308">
          <cell r="A308">
            <v>395000</v>
          </cell>
          <cell r="B308" t="str">
            <v>Penas, multas, accesorios y actualizaciones</v>
          </cell>
          <cell r="C308" t="str">
            <v>N</v>
          </cell>
        </row>
        <row r="309">
          <cell r="A309">
            <v>395001</v>
          </cell>
          <cell r="B309" t="str">
            <v>Penas, multas, accesorios y actualizaciones</v>
          </cell>
          <cell r="C309" t="str">
            <v>S</v>
          </cell>
        </row>
        <row r="310">
          <cell r="A310">
            <v>396000</v>
          </cell>
          <cell r="B310" t="str">
            <v>Otros gastos por responsabilidades</v>
          </cell>
          <cell r="C310" t="str">
            <v>N</v>
          </cell>
        </row>
        <row r="311">
          <cell r="A311">
            <v>396001</v>
          </cell>
          <cell r="B311" t="str">
            <v>Otros gastos por responsabilidades</v>
          </cell>
          <cell r="C311" t="str">
            <v>S</v>
          </cell>
        </row>
        <row r="312">
          <cell r="A312">
            <v>399000</v>
          </cell>
          <cell r="B312" t="str">
            <v>Otros servicios generales</v>
          </cell>
          <cell r="C312" t="str">
            <v>N</v>
          </cell>
        </row>
        <row r="313">
          <cell r="A313">
            <v>399001</v>
          </cell>
          <cell r="B313" t="str">
            <v>Gastos menores</v>
          </cell>
          <cell r="C313" t="str">
            <v>S</v>
          </cell>
        </row>
        <row r="314">
          <cell r="A314">
            <v>399002</v>
          </cell>
          <cell r="B314" t="str">
            <v>Retribuciones a reos</v>
          </cell>
          <cell r="C314" t="str">
            <v>S</v>
          </cell>
        </row>
        <row r="315">
          <cell r="A315">
            <v>399003</v>
          </cell>
          <cell r="B315" t="str">
            <v>Otros servicios de la administración pública</v>
          </cell>
          <cell r="C315" t="str">
            <v>S</v>
          </cell>
        </row>
        <row r="316">
          <cell r="A316">
            <v>399004</v>
          </cell>
          <cell r="B316" t="str">
            <v>Previsión Arrendamientos</v>
          </cell>
          <cell r="C316" t="str">
            <v>Prev</v>
          </cell>
        </row>
        <row r="317">
          <cell r="A317">
            <v>500000</v>
          </cell>
          <cell r="B317" t="str">
            <v>BIENES MUEBLES, INMUEBLES E INTANGIBLES</v>
          </cell>
          <cell r="C317" t="str">
            <v>N</v>
          </cell>
        </row>
        <row r="318">
          <cell r="A318">
            <v>510000</v>
          </cell>
          <cell r="B318" t="str">
            <v>MOBILIARIO Y EQUIPO DE ADMINISTRACIÓN</v>
          </cell>
          <cell r="C318" t="str">
            <v>N</v>
          </cell>
        </row>
        <row r="319">
          <cell r="A319">
            <v>511000</v>
          </cell>
          <cell r="B319" t="str">
            <v>Muebles de oficina y estantería</v>
          </cell>
          <cell r="C319" t="str">
            <v>N</v>
          </cell>
        </row>
        <row r="320">
          <cell r="A320">
            <v>511001</v>
          </cell>
          <cell r="B320" t="str">
            <v>Mobiliario</v>
          </cell>
          <cell r="C320" t="str">
            <v>S</v>
          </cell>
        </row>
        <row r="321">
          <cell r="A321">
            <v>512000</v>
          </cell>
          <cell r="B321" t="str">
            <v>Muebles, excepto de oficina y estantería</v>
          </cell>
          <cell r="C321" t="str">
            <v>N</v>
          </cell>
        </row>
        <row r="322">
          <cell r="A322">
            <v>512001</v>
          </cell>
          <cell r="B322" t="str">
            <v>Muebles, excepto de oficina y estantería</v>
          </cell>
          <cell r="C322" t="str">
            <v>S</v>
          </cell>
        </row>
        <row r="323">
          <cell r="A323">
            <v>513000</v>
          </cell>
          <cell r="B323" t="str">
            <v>Bienes artísticos, culturales y científicos</v>
          </cell>
          <cell r="C323" t="str">
            <v>N</v>
          </cell>
        </row>
        <row r="324">
          <cell r="A324">
            <v>513001</v>
          </cell>
          <cell r="B324" t="str">
            <v>Bienes artísticos y culturales</v>
          </cell>
          <cell r="C324" t="str">
            <v>S</v>
          </cell>
        </row>
        <row r="325">
          <cell r="A325">
            <v>514000</v>
          </cell>
          <cell r="B325" t="str">
            <v>Objetos de valor</v>
          </cell>
          <cell r="C325" t="str">
            <v>N</v>
          </cell>
        </row>
        <row r="326">
          <cell r="A326">
            <v>514001</v>
          </cell>
          <cell r="B326" t="str">
            <v>Objetos de valor</v>
          </cell>
          <cell r="C326" t="str">
            <v>S</v>
          </cell>
        </row>
        <row r="327">
          <cell r="A327">
            <v>515000</v>
          </cell>
          <cell r="B327" t="str">
            <v>Equipo de cómputo y de tecnologías de la información</v>
          </cell>
          <cell r="C327" t="str">
            <v>N</v>
          </cell>
        </row>
        <row r="328">
          <cell r="A328">
            <v>515001</v>
          </cell>
          <cell r="B328" t="str">
            <v>Equipo de administración</v>
          </cell>
          <cell r="C328" t="str">
            <v>S</v>
          </cell>
        </row>
        <row r="329">
          <cell r="A329">
            <v>515002</v>
          </cell>
          <cell r="B329" t="str">
            <v>Equipo de Cómputo y Aparatos de Uso Informático</v>
          </cell>
          <cell r="C329" t="str">
            <v>S</v>
          </cell>
        </row>
        <row r="330">
          <cell r="A330">
            <v>515003</v>
          </cell>
          <cell r="B330" t="str">
            <v>Sistemas de Rastreo Satelital (GPS)</v>
          </cell>
          <cell r="C330" t="str">
            <v>S</v>
          </cell>
        </row>
        <row r="331">
          <cell r="A331">
            <v>519000</v>
          </cell>
          <cell r="B331" t="str">
            <v>Otros mobiliarios y equipos de administración</v>
          </cell>
          <cell r="C331" t="str">
            <v>N</v>
          </cell>
        </row>
        <row r="332">
          <cell r="A332">
            <v>519001</v>
          </cell>
          <cell r="B332" t="str">
            <v>Cámaras y Circuitos Cerrados de Seguridad</v>
          </cell>
          <cell r="C332" t="str">
            <v>S</v>
          </cell>
        </row>
        <row r="333">
          <cell r="A333">
            <v>519002</v>
          </cell>
          <cell r="B333" t="str">
            <v>Equipos de Audio</v>
          </cell>
          <cell r="C333" t="str">
            <v>S</v>
          </cell>
        </row>
        <row r="334">
          <cell r="A334">
            <v>519003</v>
          </cell>
          <cell r="B334" t="str">
            <v>Otras Herramientas, Mobiliarios y Eq. De Administración</v>
          </cell>
          <cell r="C334" t="str">
            <v>S</v>
          </cell>
        </row>
        <row r="335">
          <cell r="A335">
            <v>519004</v>
          </cell>
          <cell r="B335" t="str">
            <v>Aulas Móviles de Vigilancia</v>
          </cell>
          <cell r="C335" t="str">
            <v>S</v>
          </cell>
        </row>
        <row r="336">
          <cell r="A336">
            <v>520000</v>
          </cell>
          <cell r="B336" t="str">
            <v>MOBILIARIO Y EQUIPO EDUCACIONAL Y RECREATIVO</v>
          </cell>
          <cell r="C336" t="str">
            <v>N</v>
          </cell>
        </row>
        <row r="337">
          <cell r="A337">
            <v>521000</v>
          </cell>
          <cell r="B337" t="str">
            <v>Equipos y aparatos audiovisuales</v>
          </cell>
          <cell r="C337" t="str">
            <v>N</v>
          </cell>
        </row>
        <row r="338">
          <cell r="A338">
            <v>521001</v>
          </cell>
          <cell r="B338" t="str">
            <v>Equipo educacional y recreativo</v>
          </cell>
          <cell r="C338" t="str">
            <v>S</v>
          </cell>
        </row>
        <row r="339">
          <cell r="A339">
            <v>522000</v>
          </cell>
          <cell r="B339" t="str">
            <v>Aparatos deportivos</v>
          </cell>
          <cell r="C339" t="str">
            <v>N</v>
          </cell>
        </row>
        <row r="340">
          <cell r="A340">
            <v>522001</v>
          </cell>
          <cell r="B340" t="str">
            <v>Aparatos deportivos</v>
          </cell>
          <cell r="C340" t="str">
            <v>S</v>
          </cell>
        </row>
        <row r="341">
          <cell r="A341">
            <v>523000</v>
          </cell>
          <cell r="B341" t="str">
            <v>Cámaras fotográficas y de video</v>
          </cell>
          <cell r="C341" t="str">
            <v>N</v>
          </cell>
        </row>
        <row r="342">
          <cell r="A342">
            <v>523001</v>
          </cell>
          <cell r="B342" t="str">
            <v>Cámaras Fotográficas</v>
          </cell>
          <cell r="C342" t="str">
            <v>S</v>
          </cell>
        </row>
        <row r="343">
          <cell r="A343">
            <v>523002</v>
          </cell>
          <cell r="B343" t="str">
            <v>Cámaras de Video</v>
          </cell>
          <cell r="C343" t="str">
            <v>S</v>
          </cell>
        </row>
        <row r="344">
          <cell r="A344">
            <v>529000</v>
          </cell>
          <cell r="B344" t="str">
            <v>Otro mobiliario y equipo educacional y recreativo</v>
          </cell>
          <cell r="C344" t="str">
            <v>N</v>
          </cell>
        </row>
        <row r="345">
          <cell r="A345">
            <v>529001</v>
          </cell>
          <cell r="B345" t="str">
            <v>Instrumentos Musicales</v>
          </cell>
          <cell r="C345" t="str">
            <v>S</v>
          </cell>
        </row>
        <row r="346">
          <cell r="A346">
            <v>529002</v>
          </cell>
          <cell r="B346" t="str">
            <v>Equipo Educacional</v>
          </cell>
          <cell r="C346" t="str">
            <v>S</v>
          </cell>
        </row>
        <row r="347">
          <cell r="A347">
            <v>530000</v>
          </cell>
          <cell r="B347" t="str">
            <v>EQUIPO E INSTRUMENTAL MÉDICO Y DE LABORATORIO</v>
          </cell>
          <cell r="C347" t="str">
            <v>N</v>
          </cell>
        </row>
        <row r="348">
          <cell r="A348">
            <v>531000</v>
          </cell>
          <cell r="B348" t="str">
            <v>Equipo médico y de laboratorio</v>
          </cell>
          <cell r="C348" t="str">
            <v>N</v>
          </cell>
        </row>
        <row r="349">
          <cell r="A349">
            <v>531001</v>
          </cell>
          <cell r="B349" t="str">
            <v>Equipo e instrumental medico</v>
          </cell>
          <cell r="C349" t="str">
            <v>S</v>
          </cell>
        </row>
        <row r="350">
          <cell r="A350">
            <v>532000</v>
          </cell>
          <cell r="B350" t="str">
            <v>Instrumental médico y de laboratorio</v>
          </cell>
          <cell r="C350" t="str">
            <v>N</v>
          </cell>
        </row>
        <row r="351">
          <cell r="A351">
            <v>532001</v>
          </cell>
          <cell r="B351" t="str">
            <v>Instrumental médico y de laboratorio</v>
          </cell>
          <cell r="C351" t="str">
            <v>S</v>
          </cell>
        </row>
        <row r="352">
          <cell r="A352">
            <v>540000</v>
          </cell>
          <cell r="B352" t="str">
            <v>VEHÍCULOS Y EQUIPO DE TRANSPORTE</v>
          </cell>
          <cell r="C352" t="str">
            <v>N</v>
          </cell>
        </row>
        <row r="353">
          <cell r="A353">
            <v>541000</v>
          </cell>
          <cell r="B353" t="str">
            <v>Automóviles y camiones</v>
          </cell>
          <cell r="C353" t="str">
            <v>N</v>
          </cell>
        </row>
        <row r="354">
          <cell r="A354">
            <v>541001</v>
          </cell>
          <cell r="B354" t="str">
            <v>Vehículos y equipo terrestre</v>
          </cell>
          <cell r="C354" t="str">
            <v>S</v>
          </cell>
        </row>
        <row r="355">
          <cell r="A355">
            <v>542000</v>
          </cell>
          <cell r="B355" t="str">
            <v>Carrocerías y remolques</v>
          </cell>
          <cell r="C355" t="str">
            <v>N</v>
          </cell>
        </row>
        <row r="356">
          <cell r="A356">
            <v>542001</v>
          </cell>
          <cell r="B356" t="str">
            <v>Carrocerías y remolques</v>
          </cell>
          <cell r="C356" t="str">
            <v>S</v>
          </cell>
        </row>
        <row r="357">
          <cell r="A357">
            <v>543000</v>
          </cell>
          <cell r="B357" t="str">
            <v>Equipo aeroespacial</v>
          </cell>
          <cell r="C357" t="str">
            <v>N</v>
          </cell>
        </row>
        <row r="358">
          <cell r="A358">
            <v>543001</v>
          </cell>
          <cell r="B358" t="str">
            <v>Vehículos y equipo de transporte aéreo</v>
          </cell>
          <cell r="C358" t="str">
            <v>S</v>
          </cell>
        </row>
        <row r="359">
          <cell r="A359">
            <v>544000</v>
          </cell>
          <cell r="B359" t="str">
            <v>Equipo ferroviario</v>
          </cell>
          <cell r="C359" t="str">
            <v>N</v>
          </cell>
        </row>
        <row r="360">
          <cell r="A360">
            <v>544001</v>
          </cell>
          <cell r="B360" t="str">
            <v>Equipo ferroviario</v>
          </cell>
          <cell r="C360" t="str">
            <v>S</v>
          </cell>
        </row>
        <row r="361">
          <cell r="A361">
            <v>545000</v>
          </cell>
          <cell r="B361" t="str">
            <v>Embarcaciones</v>
          </cell>
          <cell r="C361" t="str">
            <v>N</v>
          </cell>
        </row>
        <row r="362">
          <cell r="A362">
            <v>545001</v>
          </cell>
          <cell r="B362" t="str">
            <v>Vehículos y equipo marino</v>
          </cell>
          <cell r="C362" t="str">
            <v>S</v>
          </cell>
        </row>
        <row r="363">
          <cell r="A363">
            <v>549000</v>
          </cell>
          <cell r="B363" t="str">
            <v>Otros Equipos de Transporte</v>
          </cell>
          <cell r="C363" t="str">
            <v>N</v>
          </cell>
        </row>
        <row r="364">
          <cell r="A364">
            <v>549001</v>
          </cell>
          <cell r="B364" t="str">
            <v>Otros equipos de transporte</v>
          </cell>
          <cell r="C364" t="str">
            <v>S</v>
          </cell>
        </row>
        <row r="365">
          <cell r="A365">
            <v>550000</v>
          </cell>
          <cell r="B365" t="str">
            <v>EQUIPO DE DEFENSA Y SEGURIDAD</v>
          </cell>
          <cell r="C365" t="str">
            <v>N</v>
          </cell>
        </row>
        <row r="366">
          <cell r="A366">
            <v>551000</v>
          </cell>
          <cell r="B366" t="str">
            <v>Equipo de defensa y seguridad</v>
          </cell>
          <cell r="C366" t="str">
            <v>N</v>
          </cell>
        </row>
        <row r="367">
          <cell r="A367">
            <v>551001</v>
          </cell>
          <cell r="B367" t="str">
            <v>Equipo de defensa y seguridad pública</v>
          </cell>
          <cell r="C367" t="str">
            <v>S</v>
          </cell>
        </row>
        <row r="368">
          <cell r="A368">
            <v>560000</v>
          </cell>
          <cell r="B368" t="str">
            <v>MAQUINARIA, OTROS EQUIPOS Y HERRAMIENTAS</v>
          </cell>
          <cell r="C368" t="str">
            <v>N</v>
          </cell>
        </row>
        <row r="369">
          <cell r="A369">
            <v>561000</v>
          </cell>
          <cell r="B369" t="str">
            <v>Maquinaria y equipo agropecuario</v>
          </cell>
          <cell r="C369" t="str">
            <v>N</v>
          </cell>
        </row>
        <row r="370">
          <cell r="A370">
            <v>561001</v>
          </cell>
          <cell r="B370" t="str">
            <v>Maquinaria y equipo agropecuario, industrial y de construcción</v>
          </cell>
          <cell r="C370" t="str">
            <v>S</v>
          </cell>
        </row>
        <row r="371">
          <cell r="A371">
            <v>562000</v>
          </cell>
          <cell r="B371" t="str">
            <v>Maquinaria y equipo industrial</v>
          </cell>
          <cell r="C371" t="str">
            <v>N</v>
          </cell>
        </row>
        <row r="372">
          <cell r="A372">
            <v>562001</v>
          </cell>
          <cell r="B372" t="str">
            <v>Bombas Industriales</v>
          </cell>
          <cell r="C372" t="str">
            <v>S</v>
          </cell>
        </row>
        <row r="373">
          <cell r="A373">
            <v>563000</v>
          </cell>
          <cell r="B373" t="str">
            <v>Maquinaria y equipo de construcción</v>
          </cell>
          <cell r="C373" t="str">
            <v>N</v>
          </cell>
        </row>
        <row r="374">
          <cell r="A374">
            <v>563001</v>
          </cell>
          <cell r="B374" t="str">
            <v>Maquinaria y equipo de construcción</v>
          </cell>
          <cell r="C374" t="str">
            <v>S</v>
          </cell>
        </row>
        <row r="375">
          <cell r="A375">
            <v>564000</v>
          </cell>
          <cell r="B375" t="str">
            <v>Sistemas de aire acondicionado, calefacción y de refrigeración industrial y comercial</v>
          </cell>
          <cell r="C375" t="str">
            <v>N</v>
          </cell>
        </row>
        <row r="376">
          <cell r="A376">
            <v>564001</v>
          </cell>
          <cell r="B376" t="str">
            <v>Sistemas de aire acondicionado, calefacción y de refrigeración industrial y comercial</v>
          </cell>
          <cell r="C376" t="str">
            <v>S</v>
          </cell>
        </row>
        <row r="377">
          <cell r="A377">
            <v>565000</v>
          </cell>
          <cell r="B377" t="str">
            <v>Equipo de comunicación y telecomunicación</v>
          </cell>
          <cell r="C377" t="str">
            <v>N</v>
          </cell>
        </row>
        <row r="378">
          <cell r="A378">
            <v>565001</v>
          </cell>
          <cell r="B378" t="str">
            <v>Maq. y equipo de telecomunicaciones, eléctrica y electrónica</v>
          </cell>
          <cell r="C378" t="str">
            <v>S</v>
          </cell>
        </row>
        <row r="379">
          <cell r="A379">
            <v>566000</v>
          </cell>
          <cell r="B379" t="str">
            <v>Equipos de generación eléctrica, aparatos y accesorios eléctricos</v>
          </cell>
          <cell r="C379" t="str">
            <v>N</v>
          </cell>
        </row>
        <row r="380">
          <cell r="A380">
            <v>566001</v>
          </cell>
          <cell r="B380" t="str">
            <v>Equipos de generación eléctrica</v>
          </cell>
          <cell r="C380" t="str">
            <v>S</v>
          </cell>
        </row>
        <row r="381">
          <cell r="A381">
            <v>566002</v>
          </cell>
          <cell r="B381" t="str">
            <v>Aparatos y Accesorios eléctricos</v>
          </cell>
          <cell r="C381" t="str">
            <v>S</v>
          </cell>
        </row>
        <row r="382">
          <cell r="A382">
            <v>567000</v>
          </cell>
          <cell r="B382" t="str">
            <v>Herramientas y máquinas-herramienta</v>
          </cell>
          <cell r="C382" t="str">
            <v>N</v>
          </cell>
        </row>
        <row r="383">
          <cell r="A383">
            <v>567001</v>
          </cell>
          <cell r="B383" t="str">
            <v>Herramientas y refacciones mayores</v>
          </cell>
          <cell r="C383" t="str">
            <v>S</v>
          </cell>
        </row>
        <row r="384">
          <cell r="A384">
            <v>569000</v>
          </cell>
          <cell r="B384" t="str">
            <v>Otros equipos</v>
          </cell>
          <cell r="C384" t="str">
            <v>N</v>
          </cell>
        </row>
        <row r="385">
          <cell r="A385">
            <v>569001</v>
          </cell>
          <cell r="B385" t="str">
            <v>Maquinaria y equipo diverso</v>
          </cell>
          <cell r="C385" t="str">
            <v>S</v>
          </cell>
        </row>
        <row r="386">
          <cell r="A386">
            <v>570000</v>
          </cell>
          <cell r="B386" t="str">
            <v>ACTIVOS BIOLÓGICOS</v>
          </cell>
          <cell r="C386" t="str">
            <v>N</v>
          </cell>
        </row>
        <row r="387">
          <cell r="A387">
            <v>571000</v>
          </cell>
          <cell r="B387" t="str">
            <v>Bovinos</v>
          </cell>
          <cell r="C387" t="str">
            <v>N</v>
          </cell>
        </row>
        <row r="388">
          <cell r="A388">
            <v>571001</v>
          </cell>
          <cell r="B388" t="str">
            <v>Bovinos</v>
          </cell>
          <cell r="C388" t="str">
            <v>S</v>
          </cell>
        </row>
        <row r="389">
          <cell r="A389">
            <v>572000</v>
          </cell>
          <cell r="B389" t="str">
            <v>Porcinos</v>
          </cell>
          <cell r="C389" t="str">
            <v>N</v>
          </cell>
        </row>
        <row r="390">
          <cell r="A390">
            <v>572001</v>
          </cell>
          <cell r="B390" t="str">
            <v>Porcinos</v>
          </cell>
          <cell r="C390" t="str">
            <v>S</v>
          </cell>
        </row>
        <row r="391">
          <cell r="A391">
            <v>573000</v>
          </cell>
          <cell r="B391" t="str">
            <v>Aves</v>
          </cell>
          <cell r="C391" t="str">
            <v>N</v>
          </cell>
        </row>
        <row r="392">
          <cell r="A392">
            <v>573001</v>
          </cell>
          <cell r="B392" t="str">
            <v>Aves</v>
          </cell>
          <cell r="C392" t="str">
            <v>S</v>
          </cell>
        </row>
        <row r="393">
          <cell r="A393">
            <v>574000</v>
          </cell>
          <cell r="B393" t="str">
            <v>Ovinos y caprinos</v>
          </cell>
          <cell r="C393" t="str">
            <v>N</v>
          </cell>
        </row>
        <row r="394">
          <cell r="A394">
            <v>574001</v>
          </cell>
          <cell r="B394" t="str">
            <v>Ovinos y caprinos</v>
          </cell>
          <cell r="C394" t="str">
            <v>S</v>
          </cell>
        </row>
        <row r="395">
          <cell r="A395">
            <v>575000</v>
          </cell>
          <cell r="B395" t="str">
            <v>Peces y acuicultura</v>
          </cell>
          <cell r="C395" t="str">
            <v>N</v>
          </cell>
        </row>
        <row r="396">
          <cell r="A396">
            <v>575001</v>
          </cell>
          <cell r="B396" t="str">
            <v>Peces y acuicultura</v>
          </cell>
          <cell r="C396" t="str">
            <v>S</v>
          </cell>
        </row>
        <row r="397">
          <cell r="A397">
            <v>576000</v>
          </cell>
          <cell r="B397" t="str">
            <v>Equinos</v>
          </cell>
          <cell r="C397" t="str">
            <v>N</v>
          </cell>
        </row>
        <row r="398">
          <cell r="A398">
            <v>576001</v>
          </cell>
          <cell r="B398" t="str">
            <v>Equinos</v>
          </cell>
          <cell r="C398" t="str">
            <v>S</v>
          </cell>
        </row>
        <row r="399">
          <cell r="A399">
            <v>577000</v>
          </cell>
          <cell r="B399" t="str">
            <v>Especies menores y de zoológico</v>
          </cell>
          <cell r="C399" t="str">
            <v>N</v>
          </cell>
        </row>
        <row r="400">
          <cell r="A400">
            <v>577001</v>
          </cell>
          <cell r="B400" t="str">
            <v>Especies menores y de zoológico</v>
          </cell>
          <cell r="C400" t="str">
            <v>S</v>
          </cell>
        </row>
        <row r="401">
          <cell r="A401">
            <v>578000</v>
          </cell>
          <cell r="B401" t="str">
            <v>Árboles y plantas</v>
          </cell>
          <cell r="C401" t="str">
            <v>N</v>
          </cell>
        </row>
        <row r="402">
          <cell r="A402">
            <v>578001</v>
          </cell>
          <cell r="B402" t="str">
            <v>Árboles y plantas</v>
          </cell>
          <cell r="C402" t="str">
            <v>S</v>
          </cell>
        </row>
        <row r="403">
          <cell r="A403">
            <v>579000</v>
          </cell>
          <cell r="B403" t="str">
            <v>Otros activos biológicos</v>
          </cell>
          <cell r="C403" t="str">
            <v>N</v>
          </cell>
        </row>
        <row r="404">
          <cell r="A404">
            <v>579001</v>
          </cell>
          <cell r="B404" t="str">
            <v>Otros activos biológicos</v>
          </cell>
          <cell r="C404" t="str">
            <v>S</v>
          </cell>
        </row>
        <row r="405">
          <cell r="A405">
            <v>580000</v>
          </cell>
          <cell r="B405" t="str">
            <v>BIENES INMUEBLES</v>
          </cell>
          <cell r="C405" t="str">
            <v>N</v>
          </cell>
        </row>
        <row r="406">
          <cell r="A406">
            <v>581000</v>
          </cell>
          <cell r="B406" t="str">
            <v>Terrenos</v>
          </cell>
          <cell r="C406" t="str">
            <v>N</v>
          </cell>
        </row>
        <row r="407">
          <cell r="A407">
            <v>581001</v>
          </cell>
          <cell r="B407" t="str">
            <v>Terrenos</v>
          </cell>
          <cell r="C407" t="str">
            <v>S</v>
          </cell>
        </row>
        <row r="408">
          <cell r="A408">
            <v>582000</v>
          </cell>
          <cell r="B408" t="str">
            <v>Viviendas</v>
          </cell>
          <cell r="C408" t="str">
            <v>N</v>
          </cell>
        </row>
        <row r="409">
          <cell r="A409">
            <v>582001</v>
          </cell>
          <cell r="B409" t="str">
            <v>Viviendas</v>
          </cell>
          <cell r="C409" t="str">
            <v>S</v>
          </cell>
        </row>
        <row r="410">
          <cell r="A410">
            <v>583000</v>
          </cell>
          <cell r="B410" t="str">
            <v>Edificios no residenciales</v>
          </cell>
          <cell r="C410" t="str">
            <v>N</v>
          </cell>
        </row>
        <row r="411">
          <cell r="A411">
            <v>583001</v>
          </cell>
          <cell r="B411" t="str">
            <v>Edificios y locales</v>
          </cell>
          <cell r="C411" t="str">
            <v>S</v>
          </cell>
        </row>
        <row r="412">
          <cell r="A412">
            <v>589000</v>
          </cell>
          <cell r="B412" t="str">
            <v>Otros bienes inmuebles</v>
          </cell>
          <cell r="C412" t="str">
            <v>N</v>
          </cell>
        </row>
        <row r="413">
          <cell r="A413">
            <v>589001</v>
          </cell>
          <cell r="B413" t="str">
            <v>Adjudicaciones, expropiaciones e indemnizaciones de inmuebles</v>
          </cell>
          <cell r="C413" t="str">
            <v>S</v>
          </cell>
        </row>
        <row r="414">
          <cell r="A414">
            <v>590000</v>
          </cell>
          <cell r="B414" t="str">
            <v>ACTIVOS INTANGIBLES</v>
          </cell>
          <cell r="C414" t="str">
            <v>N</v>
          </cell>
        </row>
        <row r="415">
          <cell r="A415">
            <v>591000</v>
          </cell>
          <cell r="B415" t="str">
            <v>Software</v>
          </cell>
          <cell r="C415" t="str">
            <v>N</v>
          </cell>
        </row>
        <row r="416">
          <cell r="A416">
            <v>591001</v>
          </cell>
          <cell r="B416" t="str">
            <v>Software</v>
          </cell>
          <cell r="C416" t="str">
            <v>S</v>
          </cell>
        </row>
        <row r="417">
          <cell r="A417">
            <v>592000</v>
          </cell>
          <cell r="B417" t="str">
            <v>Patentes</v>
          </cell>
          <cell r="C417" t="str">
            <v>N</v>
          </cell>
        </row>
        <row r="418">
          <cell r="A418">
            <v>592001</v>
          </cell>
          <cell r="B418" t="str">
            <v>Patentes</v>
          </cell>
          <cell r="C418" t="str">
            <v>S</v>
          </cell>
        </row>
        <row r="419">
          <cell r="A419">
            <v>593000</v>
          </cell>
          <cell r="B419" t="str">
            <v>Marcas</v>
          </cell>
          <cell r="C419" t="str">
            <v>N</v>
          </cell>
        </row>
        <row r="420">
          <cell r="A420">
            <v>593001</v>
          </cell>
          <cell r="B420" t="str">
            <v>Marcas</v>
          </cell>
          <cell r="C420" t="str">
            <v>S</v>
          </cell>
        </row>
        <row r="421">
          <cell r="A421">
            <v>594000</v>
          </cell>
          <cell r="B421" t="str">
            <v>Derechos</v>
          </cell>
          <cell r="C421" t="str">
            <v>N</v>
          </cell>
        </row>
        <row r="422">
          <cell r="A422">
            <v>594001</v>
          </cell>
          <cell r="B422" t="str">
            <v>Derechos</v>
          </cell>
          <cell r="C422" t="str">
            <v>S</v>
          </cell>
        </row>
        <row r="423">
          <cell r="A423">
            <v>595000</v>
          </cell>
          <cell r="B423" t="str">
            <v>Concesiones</v>
          </cell>
          <cell r="C423" t="str">
            <v>N</v>
          </cell>
        </row>
        <row r="424">
          <cell r="A424">
            <v>595001</v>
          </cell>
          <cell r="B424" t="str">
            <v>Concesiones</v>
          </cell>
          <cell r="C424" t="str">
            <v>S</v>
          </cell>
        </row>
        <row r="425">
          <cell r="A425">
            <v>596000</v>
          </cell>
          <cell r="B425" t="str">
            <v>Franquicias</v>
          </cell>
          <cell r="C425" t="str">
            <v>N</v>
          </cell>
        </row>
        <row r="426">
          <cell r="A426">
            <v>596001</v>
          </cell>
          <cell r="B426" t="str">
            <v>Franquicias</v>
          </cell>
          <cell r="C426" t="str">
            <v>S</v>
          </cell>
        </row>
        <row r="427">
          <cell r="A427">
            <v>597000</v>
          </cell>
          <cell r="B427" t="str">
            <v>Licencias informáticas e intelectuales</v>
          </cell>
          <cell r="C427" t="str">
            <v>N</v>
          </cell>
        </row>
        <row r="428">
          <cell r="A428">
            <v>597001</v>
          </cell>
          <cell r="B428" t="str">
            <v>Licencias para programas de antivirus</v>
          </cell>
          <cell r="C428" t="str">
            <v>S</v>
          </cell>
        </row>
        <row r="429">
          <cell r="A429">
            <v>597002</v>
          </cell>
          <cell r="B429" t="str">
            <v>Licencias Microsoft Windows server 2003 edición estándar</v>
          </cell>
          <cell r="C429" t="str">
            <v>S</v>
          </cell>
        </row>
        <row r="430">
          <cell r="A430">
            <v>598000</v>
          </cell>
          <cell r="B430" t="str">
            <v>Licencias industriales, comerciales y otras</v>
          </cell>
          <cell r="C430" t="str">
            <v>N</v>
          </cell>
        </row>
        <row r="431">
          <cell r="A431">
            <v>598001</v>
          </cell>
          <cell r="B431" t="str">
            <v>Licencias industriales, comerciales y otras</v>
          </cell>
          <cell r="C431" t="str">
            <v>S</v>
          </cell>
        </row>
        <row r="432">
          <cell r="A432">
            <v>599000</v>
          </cell>
          <cell r="B432" t="str">
            <v>Otros activos intangibles</v>
          </cell>
          <cell r="C432" t="str">
            <v>N</v>
          </cell>
        </row>
        <row r="433">
          <cell r="A433">
            <v>599001</v>
          </cell>
          <cell r="B433" t="str">
            <v>Otros activos intangibles</v>
          </cell>
          <cell r="C433" t="str">
            <v>S</v>
          </cell>
        </row>
      </sheetData>
      <sheetData sheetId="4"/>
      <sheetData sheetId="5">
        <row r="1">
          <cell r="A1" t="str">
            <v>NOMENCLATURA</v>
          </cell>
          <cell r="B1" t="str">
            <v>DESCRPCION</v>
          </cell>
        </row>
        <row r="2">
          <cell r="A2">
            <v>100</v>
          </cell>
          <cell r="B2" t="str">
            <v>INGRESOS PROPIOS Y APROVECHAMIENTOS</v>
          </cell>
        </row>
        <row r="3">
          <cell r="A3">
            <v>101</v>
          </cell>
          <cell r="B3" t="str">
            <v>INGRESOS PROPIOS (IMPUESTOS, DERECHOS, PRODUCTOS Y APROVECHAMIENTOS)</v>
          </cell>
        </row>
        <row r="4">
          <cell r="A4">
            <v>102</v>
          </cell>
          <cell r="B4" t="str">
            <v>INGRESOS PROPIOS</v>
          </cell>
        </row>
        <row r="5">
          <cell r="A5">
            <v>103</v>
          </cell>
          <cell r="B5" t="str">
            <v>INGRESOS PROPIOS APORTACIONES MUNICIPALES</v>
          </cell>
        </row>
        <row r="6">
          <cell r="A6">
            <v>104</v>
          </cell>
          <cell r="B6" t="str">
            <v>APROVECHAMIENTO POR EL USO DE LA I NFRAESTRUCTURA ESTATAL</v>
          </cell>
        </row>
        <row r="7">
          <cell r="A7">
            <v>110</v>
          </cell>
          <cell r="B7" t="str">
            <v>RECURSO F.O.I.S.</v>
          </cell>
        </row>
        <row r="8">
          <cell r="A8">
            <v>111</v>
          </cell>
          <cell r="B8" t="str">
            <v>RECURSO A.P.I.</v>
          </cell>
        </row>
        <row r="9">
          <cell r="A9">
            <v>130</v>
          </cell>
          <cell r="B9" t="str">
            <v>Reintegro con Ingresos Propios Ramo 28</v>
          </cell>
        </row>
        <row r="10">
          <cell r="A10">
            <v>136</v>
          </cell>
          <cell r="B10" t="str">
            <v>Reintegro con Ingresos Propios FONE</v>
          </cell>
        </row>
        <row r="11">
          <cell r="A11">
            <v>137</v>
          </cell>
          <cell r="B11" t="str">
            <v>Reintegro con Ingresos Propios FASSA</v>
          </cell>
        </row>
        <row r="12">
          <cell r="A12">
            <v>138</v>
          </cell>
          <cell r="B12" t="str">
            <v>Reintegro con Ingresos Propios FAIS/FISE</v>
          </cell>
        </row>
        <row r="13">
          <cell r="A13">
            <v>139</v>
          </cell>
          <cell r="B13" t="str">
            <v>Reintegro con Ingresos Propios FAIS/FISM</v>
          </cell>
        </row>
        <row r="14">
          <cell r="A14">
            <v>140</v>
          </cell>
          <cell r="B14" t="str">
            <v>Reintegro con Ingresos Propios FORTAMUN</v>
          </cell>
        </row>
        <row r="15">
          <cell r="A15">
            <v>141</v>
          </cell>
          <cell r="B15" t="str">
            <v>Reintegro con Ingresos Propios FAM/Asistencia Social</v>
          </cell>
        </row>
        <row r="16">
          <cell r="A16">
            <v>142</v>
          </cell>
          <cell r="B16" t="str">
            <v>Reintegro con Ingresos Propios FAM/Infraest. Educación Básica</v>
          </cell>
        </row>
        <row r="17">
          <cell r="A17">
            <v>143</v>
          </cell>
          <cell r="B17" t="str">
            <v>Reintegro con Ingresos Propios FAM/ Infraest. Educación Media Superior y Superior</v>
          </cell>
        </row>
        <row r="18">
          <cell r="A18">
            <v>145</v>
          </cell>
          <cell r="B18" t="str">
            <v>Reintegro con Ingresos Propios FAETA/Educ. Tecnológica (CONALEP)</v>
          </cell>
        </row>
        <row r="19">
          <cell r="A19">
            <v>146</v>
          </cell>
          <cell r="B19" t="str">
            <v>Reintegro con Ingresos Propios FAETA Educ. Adultos (IEEA)</v>
          </cell>
        </row>
        <row r="20">
          <cell r="A20">
            <v>147</v>
          </cell>
          <cell r="B20" t="str">
            <v>Reintegro con Ingresos Propios FASP</v>
          </cell>
        </row>
        <row r="21">
          <cell r="A21">
            <v>148</v>
          </cell>
          <cell r="B21" t="str">
            <v>Reintegro con Ingresos Propios FAFEF</v>
          </cell>
        </row>
        <row r="22">
          <cell r="A22">
            <v>149</v>
          </cell>
          <cell r="B22" t="str">
            <v>Reintegro con Ingresos Propios SEDATU</v>
          </cell>
        </row>
        <row r="23">
          <cell r="A23">
            <v>161</v>
          </cell>
          <cell r="B23" t="str">
            <v>Reintegro con Ingresos Propios CULTURA Ramo 48</v>
          </cell>
        </row>
        <row r="24">
          <cell r="A24">
            <v>162</v>
          </cell>
          <cell r="B24" t="str">
            <v>Reintegro con Ingresos Propios UABCS</v>
          </cell>
        </row>
        <row r="25">
          <cell r="A25">
            <v>163</v>
          </cell>
          <cell r="B25" t="str">
            <v>Reintegro con Ingresos Propios CONAGUA</v>
          </cell>
        </row>
        <row r="26">
          <cell r="A26">
            <v>164</v>
          </cell>
          <cell r="B26" t="str">
            <v>Reintegro con Ingresos Propios SEGOB</v>
          </cell>
        </row>
        <row r="27">
          <cell r="A27">
            <v>165</v>
          </cell>
          <cell r="B27" t="str">
            <v>Reintegro con Ingresos Propios SECTUR</v>
          </cell>
        </row>
        <row r="28">
          <cell r="A28">
            <v>166</v>
          </cell>
          <cell r="B28" t="str">
            <v>Reintegro con Ingresos Propios PROFIS</v>
          </cell>
        </row>
        <row r="29">
          <cell r="A29">
            <v>167</v>
          </cell>
          <cell r="B29" t="str">
            <v>Reintegro con Ingresos Propios SSP</v>
          </cell>
        </row>
        <row r="30">
          <cell r="A30">
            <v>168</v>
          </cell>
          <cell r="B30" t="str">
            <v>Reintegro con Ingresos Propios COBACH</v>
          </cell>
        </row>
        <row r="31">
          <cell r="A31">
            <v>169</v>
          </cell>
          <cell r="B31" t="str">
            <v>Reintegro con Ingresos Propios Fondo Proporcional Peso a Peso</v>
          </cell>
        </row>
        <row r="32">
          <cell r="A32">
            <v>170</v>
          </cell>
          <cell r="B32" t="str">
            <v>Reintegro con Ingresos Propios CECYTE</v>
          </cell>
        </row>
        <row r="33">
          <cell r="A33">
            <v>171</v>
          </cell>
          <cell r="B33" t="str">
            <v>Reintegro con Ingresos Propios Imp. Ref. Penal (SETEC)</v>
          </cell>
        </row>
        <row r="34">
          <cell r="A34">
            <v>172</v>
          </cell>
          <cell r="B34" t="str">
            <v>Reintegro con Ingresos Propios CONADE</v>
          </cell>
        </row>
        <row r="35">
          <cell r="A35">
            <v>173</v>
          </cell>
          <cell r="B35" t="str">
            <v>Reintegro con Ingresos Propios Conv. Salud (Ramo 12)</v>
          </cell>
        </row>
        <row r="36">
          <cell r="A36">
            <v>174</v>
          </cell>
          <cell r="B36" t="str">
            <v>Reintegro con Ingresos Propios Secretaría de Economía</v>
          </cell>
        </row>
        <row r="37">
          <cell r="A37">
            <v>177</v>
          </cell>
          <cell r="B37" t="str">
            <v>Reintegro con Ingresos Propios SUBSEMUN</v>
          </cell>
        </row>
        <row r="38">
          <cell r="A38">
            <v>178</v>
          </cell>
          <cell r="B38" t="str">
            <v>Reintegro con Ingresos Propios Fondo Para La Infraest. de los Estados</v>
          </cell>
        </row>
        <row r="39">
          <cell r="A39">
            <v>179</v>
          </cell>
          <cell r="B39" t="str">
            <v>Reintegro con Ingresos Propios Apoyo Financiero Ext. UABCS</v>
          </cell>
        </row>
        <row r="40">
          <cell r="A40">
            <v>180</v>
          </cell>
          <cell r="B40" t="str">
            <v>Reintegro con Ingresos Propios Apoyo Financiero Ext. ISIFE</v>
          </cell>
        </row>
        <row r="41">
          <cell r="A41">
            <v>181</v>
          </cell>
          <cell r="B41" t="str">
            <v>Reintegro con Ingresos Propios Subs. Policía Estatal Acreditable (SPA)</v>
          </cell>
        </row>
        <row r="42">
          <cell r="A42">
            <v>182</v>
          </cell>
          <cell r="B42" t="str">
            <v>Reintegro con Ingresos Propios PROASP</v>
          </cell>
        </row>
        <row r="43">
          <cell r="A43">
            <v>183</v>
          </cell>
          <cell r="B43" t="str">
            <v>Reintegro con Ingresos Propios Ingresos Extraordinarios</v>
          </cell>
        </row>
        <row r="44">
          <cell r="A44">
            <v>184</v>
          </cell>
          <cell r="B44" t="str">
            <v>Reintegro con Ingresos Propios Ingresos Derivados del 5 Al Millar (Obra)</v>
          </cell>
        </row>
        <row r="45">
          <cell r="A45">
            <v>185</v>
          </cell>
          <cell r="B45" t="str">
            <v>Reintegro con Ingresos Propios Ingresos Extraordinarios Ramo 23</v>
          </cell>
        </row>
        <row r="46">
          <cell r="A46">
            <v>186</v>
          </cell>
          <cell r="B46" t="str">
            <v>Reintegro con Ingresos Propios Ingresos Extraordinarios Ramo 21</v>
          </cell>
        </row>
        <row r="47">
          <cell r="A47">
            <v>187</v>
          </cell>
          <cell r="B47" t="str">
            <v>Reintegro con Ingresos Propios Ingresos Extraordinarios Sep. Ramo 11</v>
          </cell>
        </row>
        <row r="48">
          <cell r="A48">
            <v>188</v>
          </cell>
          <cell r="B48" t="str">
            <v>Reintegro con Ingresos Propios Ingresos Ext. Ramo 09 (SCT)</v>
          </cell>
        </row>
        <row r="49">
          <cell r="A49">
            <v>189</v>
          </cell>
          <cell r="B49" t="str">
            <v>Reintegro con Ingresos Propios Ingresos Ext. Ramo 16 (SEMARNAT)</v>
          </cell>
        </row>
        <row r="50">
          <cell r="A50">
            <v>201</v>
          </cell>
          <cell r="B50" t="str">
            <v>BONO CUPÓN CERO</v>
          </cell>
        </row>
        <row r="51">
          <cell r="A51">
            <v>500</v>
          </cell>
          <cell r="B51" t="str">
            <v>RECURSOS FEDERALES</v>
          </cell>
        </row>
        <row r="52">
          <cell r="A52">
            <v>530</v>
          </cell>
          <cell r="B52" t="str">
            <v>PARTICIPACIONES Ramo 28</v>
          </cell>
        </row>
        <row r="53">
          <cell r="A53">
            <v>535</v>
          </cell>
          <cell r="B53" t="str">
            <v>INTERESES BANCARIOS PROYECTADOS, RECURSOS FEDERALES</v>
          </cell>
        </row>
        <row r="54">
          <cell r="A54">
            <v>536</v>
          </cell>
          <cell r="B54" t="str">
            <v>FONE Ramo 33</v>
          </cell>
        </row>
        <row r="55">
          <cell r="A55">
            <v>537</v>
          </cell>
          <cell r="B55" t="str">
            <v>FASSA Ramo 33</v>
          </cell>
        </row>
        <row r="56">
          <cell r="A56">
            <v>538</v>
          </cell>
          <cell r="B56" t="str">
            <v>FAIS/FISE Ramo 33</v>
          </cell>
        </row>
        <row r="57">
          <cell r="A57">
            <v>539</v>
          </cell>
          <cell r="B57" t="str">
            <v>FAIS/FISM Ramo 33</v>
          </cell>
        </row>
        <row r="58">
          <cell r="A58">
            <v>540</v>
          </cell>
          <cell r="B58" t="str">
            <v>FORTAMUN Ramo 33</v>
          </cell>
        </row>
        <row r="59">
          <cell r="A59">
            <v>541</v>
          </cell>
          <cell r="B59" t="str">
            <v>FAM/ASISTENCIA SOCIAL Ramo 33</v>
          </cell>
        </row>
        <row r="60">
          <cell r="A60">
            <v>542</v>
          </cell>
          <cell r="B60" t="str">
            <v>FAM/INFRAESTRUCTURA DE EDUCACIÓN BÁSICA Ramo 33</v>
          </cell>
        </row>
        <row r="61">
          <cell r="A61">
            <v>543</v>
          </cell>
          <cell r="B61" t="str">
            <v>FAM/EDUCACIÓN MEDIA SUPERIOR Y SUPERIOR Ramo 33</v>
          </cell>
        </row>
        <row r="62">
          <cell r="A62">
            <v>545</v>
          </cell>
          <cell r="B62" t="str">
            <v>FAETA/EDUCACIÓN TECNOLÓGICA ( CONALEP) Ramo 33</v>
          </cell>
        </row>
        <row r="63">
          <cell r="A63">
            <v>546</v>
          </cell>
          <cell r="B63" t="str">
            <v>FAETA/EDUCACIÓN ADULTOS (IEEA) Ramo 33</v>
          </cell>
        </row>
        <row r="64">
          <cell r="A64">
            <v>547</v>
          </cell>
          <cell r="B64" t="str">
            <v>FASP Ramo 33</v>
          </cell>
        </row>
        <row r="65">
          <cell r="A65">
            <v>548</v>
          </cell>
          <cell r="B65" t="str">
            <v>FAFEF Ramo 33</v>
          </cell>
        </row>
        <row r="66">
          <cell r="A66">
            <v>549</v>
          </cell>
          <cell r="B66" t="str">
            <v>SRIA. DE DES. AGRARIO TERRITORIAL Y URBANO (SEDATU) Ramo 15</v>
          </cell>
        </row>
        <row r="67">
          <cell r="A67">
            <v>561</v>
          </cell>
          <cell r="B67" t="str">
            <v>CULTURA FEDERAL Ramo 48</v>
          </cell>
        </row>
        <row r="68">
          <cell r="A68">
            <v>562</v>
          </cell>
          <cell r="B68" t="str">
            <v>UNIVERSIDAD AUTÓNOMA DE B.C.S. Ramo 11</v>
          </cell>
        </row>
        <row r="69">
          <cell r="A69">
            <v>563</v>
          </cell>
          <cell r="B69" t="str">
            <v>CONAGUA Ramo 16</v>
          </cell>
        </row>
        <row r="70">
          <cell r="A70">
            <v>564</v>
          </cell>
          <cell r="B70" t="str">
            <v>SECRETARÍA DE GOBERNACIÓN Ramo 04</v>
          </cell>
        </row>
        <row r="71">
          <cell r="A71">
            <v>565</v>
          </cell>
          <cell r="B71" t="str">
            <v>SECRETARÍA DE TURISMO Ramo 21</v>
          </cell>
        </row>
        <row r="72">
          <cell r="A72">
            <v>566</v>
          </cell>
          <cell r="B72" t="str">
            <v>PROFIS</v>
          </cell>
        </row>
        <row r="73">
          <cell r="A73">
            <v>567</v>
          </cell>
          <cell r="B73" t="str">
            <v>SECRETARÍA DE SEGURIDAD PÚBLICA</v>
          </cell>
        </row>
        <row r="74">
          <cell r="A74">
            <v>568</v>
          </cell>
          <cell r="B74" t="str">
            <v>COBACH Ramo 11</v>
          </cell>
        </row>
        <row r="75">
          <cell r="A75">
            <v>569</v>
          </cell>
          <cell r="B75" t="str">
            <v>FONDO PROPORCIONAL PESO A PESO</v>
          </cell>
        </row>
        <row r="76">
          <cell r="A76">
            <v>570</v>
          </cell>
          <cell r="B76" t="str">
            <v>CECYTE Ramo 11</v>
          </cell>
        </row>
        <row r="77">
          <cell r="A77">
            <v>571</v>
          </cell>
          <cell r="B77" t="str">
            <v>IMPLEMENTACIÓN DE LA REFORMA PENAL (SETEC)</v>
          </cell>
        </row>
        <row r="78">
          <cell r="A78">
            <v>572</v>
          </cell>
          <cell r="B78" t="str">
            <v>CONADE Ramo 11</v>
          </cell>
        </row>
        <row r="79">
          <cell r="A79">
            <v>573</v>
          </cell>
          <cell r="B79" t="str">
            <v>CONVENIOS Ramo 12</v>
          </cell>
        </row>
        <row r="80">
          <cell r="A80">
            <v>574</v>
          </cell>
          <cell r="B80" t="str">
            <v>SECRETARÍA DE ECONOMÍA Ramo 10</v>
          </cell>
        </row>
        <row r="81">
          <cell r="A81">
            <v>577</v>
          </cell>
          <cell r="B81" t="str">
            <v>SUBSIDIO SEGURIDAD PÚBLICA MUNICIPAL</v>
          </cell>
        </row>
        <row r="82">
          <cell r="A82">
            <v>578</v>
          </cell>
          <cell r="B82" t="str">
            <v>FIDEICOMISO PARA LA INFRAESTRUCTURA DE LOS ESTADOS Ramo 23</v>
          </cell>
        </row>
        <row r="83">
          <cell r="A83">
            <v>579</v>
          </cell>
          <cell r="B83" t="str">
            <v>APOYO FINANCIERO EXTRAORDINARIO UABCS Ramo 11</v>
          </cell>
        </row>
        <row r="84">
          <cell r="A84">
            <v>580</v>
          </cell>
          <cell r="B84" t="str">
            <v>APOYO FINANCIERO EXTRAORDINARIO ISIFE Ramo 11</v>
          </cell>
        </row>
        <row r="85">
          <cell r="A85">
            <v>581</v>
          </cell>
          <cell r="B85" t="str">
            <v>SUBSIDIO POLICÍA ESTATAL ACREDITABLE (SPA)</v>
          </cell>
        </row>
        <row r="86">
          <cell r="A86">
            <v>582</v>
          </cell>
          <cell r="B86" t="str">
            <v>PROASP PROG. DE ALCANCE NAL. EN MAT. DE SEG. PUB. Ramo 04</v>
          </cell>
        </row>
        <row r="87">
          <cell r="A87">
            <v>583</v>
          </cell>
          <cell r="B87" t="str">
            <v>INGRESOS EXTRAORDINARIOS</v>
          </cell>
        </row>
        <row r="88">
          <cell r="A88">
            <v>584</v>
          </cell>
          <cell r="B88" t="str">
            <v>INGRESOS DERIVADOS DEL 5 AL MILLAR (OBRA)</v>
          </cell>
        </row>
        <row r="89">
          <cell r="A89">
            <v>585</v>
          </cell>
          <cell r="B89" t="str">
            <v>INGRESOS EXT Ramo 23 ( Provisiones Salariales y Económicas )</v>
          </cell>
        </row>
        <row r="90">
          <cell r="A90">
            <v>586</v>
          </cell>
          <cell r="B90" t="str">
            <v>INGRESOS EXT Ramo 21 (TURISMO)</v>
          </cell>
        </row>
        <row r="91">
          <cell r="A91">
            <v>587</v>
          </cell>
          <cell r="B91" t="str">
            <v>INGRESOS EXT Ramo 11 (SEP)</v>
          </cell>
        </row>
        <row r="92">
          <cell r="A92">
            <v>588</v>
          </cell>
          <cell r="B92" t="str">
            <v>INGRESOS EXT Ramo 09 (SCT)</v>
          </cell>
        </row>
        <row r="93">
          <cell r="A93">
            <v>589</v>
          </cell>
          <cell r="B93" t="str">
            <v>INGRESOS EXT Ramo 16 (SEMARNAT)</v>
          </cell>
        </row>
        <row r="94">
          <cell r="A94">
            <v>590</v>
          </cell>
          <cell r="B94" t="str">
            <v>INGRESOS EXT FORTASEG Ramo 04 (GOBERNACIÓN)</v>
          </cell>
        </row>
        <row r="95">
          <cell r="A95">
            <v>591</v>
          </cell>
          <cell r="B95" t="str">
            <v>INGRESOS EXT Ramo 20 (BIENESTAR)</v>
          </cell>
        </row>
        <row r="96">
          <cell r="A96">
            <v>598</v>
          </cell>
          <cell r="B96" t="str">
            <v>REMANENTE FONE 2016</v>
          </cell>
        </row>
        <row r="97">
          <cell r="A97">
            <v>599</v>
          </cell>
          <cell r="B97" t="str">
            <v>REMANENTE FONE 2015</v>
          </cell>
        </row>
        <row r="98">
          <cell r="A98">
            <v>700</v>
          </cell>
          <cell r="B98" t="str">
            <v>OTROS RECURSOS</v>
          </cell>
        </row>
        <row r="99">
          <cell r="A99">
            <v>736</v>
          </cell>
          <cell r="B99" t="str">
            <v>RENDIMIENTOS FONE</v>
          </cell>
        </row>
        <row r="100">
          <cell r="A100">
            <v>737</v>
          </cell>
          <cell r="B100" t="str">
            <v>RENDIMIENTOS FAM</v>
          </cell>
        </row>
        <row r="101">
          <cell r="A101">
            <v>747</v>
          </cell>
          <cell r="B101" t="str">
            <v>RENDIMIENTOS FASP</v>
          </cell>
        </row>
        <row r="102">
          <cell r="A102">
            <v>783</v>
          </cell>
          <cell r="B102" t="str">
            <v>INGRESOS EXTRAORDINARIOS (OTROS)</v>
          </cell>
        </row>
      </sheetData>
      <sheetData sheetId="6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AS 2025 SSP"/>
      <sheetName val="CAPITULO"/>
      <sheetName val="PARTIDA"/>
      <sheetName val="COG"/>
      <sheetName val="FF"/>
      <sheetName val="PROCED"/>
    </sheetNames>
    <sheetDataSet>
      <sheetData sheetId="0"/>
      <sheetData sheetId="1"/>
      <sheetData sheetId="2">
        <row r="2">
          <cell r="H2" t="str">
            <v>MATERIALES</v>
          </cell>
        </row>
        <row r="3">
          <cell r="H3" t="str">
            <v>SERVICIOS</v>
          </cell>
        </row>
        <row r="4">
          <cell r="H4" t="str">
            <v>BIENES</v>
          </cell>
        </row>
      </sheetData>
      <sheetData sheetId="3">
        <row r="1">
          <cell r="A1" t="str">
            <v>CUENTA</v>
          </cell>
          <cell r="B1" t="str">
            <v>CONCEPTO</v>
          </cell>
          <cell r="C1" t="str">
            <v>AFECTABLE/ NO
AFECTABLE</v>
          </cell>
        </row>
        <row r="2">
          <cell r="A2">
            <v>210000</v>
          </cell>
          <cell r="B2" t="str">
            <v>MATERIALES DE ADMINISTRACIÓN, EMISIÓN DE DOCUMENTOS Y ARTÍCULO OFICIALES</v>
          </cell>
          <cell r="C2" t="str">
            <v>N</v>
          </cell>
        </row>
        <row r="3">
          <cell r="A3">
            <v>211000</v>
          </cell>
          <cell r="B3" t="str">
            <v>Materiales, útiles y equipos menores de oficina</v>
          </cell>
          <cell r="C3" t="str">
            <v>N</v>
          </cell>
        </row>
        <row r="4">
          <cell r="A4">
            <v>211001</v>
          </cell>
          <cell r="B4" t="str">
            <v>Material de oficina</v>
          </cell>
          <cell r="C4" t="str">
            <v>S</v>
          </cell>
        </row>
        <row r="5">
          <cell r="A5">
            <v>212000</v>
          </cell>
          <cell r="B5" t="str">
            <v>Materiales y útiles de impresión y reproducción</v>
          </cell>
          <cell r="C5" t="str">
            <v>N</v>
          </cell>
        </row>
        <row r="6">
          <cell r="A6">
            <v>212001</v>
          </cell>
          <cell r="B6" t="str">
            <v>Material y útiles de impresión</v>
          </cell>
          <cell r="C6" t="str">
            <v>S</v>
          </cell>
        </row>
        <row r="7">
          <cell r="A7">
            <v>213000</v>
          </cell>
          <cell r="B7" t="str">
            <v>Material estadístico y geográfico</v>
          </cell>
          <cell r="C7" t="str">
            <v>N</v>
          </cell>
        </row>
        <row r="8">
          <cell r="A8">
            <v>213001</v>
          </cell>
          <cell r="B8" t="str">
            <v>Material estadístico y geográfico</v>
          </cell>
          <cell r="C8" t="str">
            <v>S</v>
          </cell>
        </row>
        <row r="9">
          <cell r="A9">
            <v>214000</v>
          </cell>
          <cell r="B9" t="str">
            <v>Materiales, útiles y equipos menores de tecnologías de la información y comunicaciones</v>
          </cell>
          <cell r="C9" t="str">
            <v>N</v>
          </cell>
        </row>
        <row r="10">
          <cell r="A10">
            <v>214001</v>
          </cell>
          <cell r="B10" t="str">
            <v>Materiales, útiles y equipos menores de tecnologías de la información y comunicaciones</v>
          </cell>
          <cell r="C10" t="str">
            <v>S</v>
          </cell>
        </row>
        <row r="11">
          <cell r="A11">
            <v>215000</v>
          </cell>
          <cell r="B11" t="str">
            <v>Material impreso e información digital</v>
          </cell>
          <cell r="C11" t="str">
            <v>N</v>
          </cell>
        </row>
        <row r="12">
          <cell r="A12">
            <v>215001</v>
          </cell>
          <cell r="B12" t="str">
            <v>Material didáctico</v>
          </cell>
          <cell r="C12" t="str">
            <v>S</v>
          </cell>
        </row>
        <row r="13">
          <cell r="A13">
            <v>215002</v>
          </cell>
          <cell r="B13" t="str">
            <v>Suscripciones a Periódicos, Revistas y Publicaciones Especializadas</v>
          </cell>
          <cell r="C13" t="str">
            <v>S</v>
          </cell>
        </row>
        <row r="14">
          <cell r="A14">
            <v>215003</v>
          </cell>
          <cell r="B14" t="str">
            <v>Material impreso e información digital</v>
          </cell>
          <cell r="C14" t="str">
            <v>S</v>
          </cell>
        </row>
        <row r="15">
          <cell r="A15">
            <v>216000</v>
          </cell>
          <cell r="B15" t="str">
            <v>Material de limpieza</v>
          </cell>
          <cell r="C15" t="str">
            <v>N</v>
          </cell>
        </row>
        <row r="16">
          <cell r="A16">
            <v>216001</v>
          </cell>
          <cell r="B16" t="str">
            <v>Material de limpieza</v>
          </cell>
          <cell r="C16" t="str">
            <v>S</v>
          </cell>
        </row>
        <row r="17">
          <cell r="A17">
            <v>217000</v>
          </cell>
          <cell r="B17" t="str">
            <v>Materiales y útiles de enseñanza</v>
          </cell>
          <cell r="C17" t="str">
            <v>N</v>
          </cell>
        </row>
        <row r="18">
          <cell r="A18">
            <v>217001</v>
          </cell>
          <cell r="B18" t="str">
            <v>Materiales y útiles de enseñanza</v>
          </cell>
          <cell r="C18" t="str">
            <v>S</v>
          </cell>
        </row>
        <row r="19">
          <cell r="A19">
            <v>218000</v>
          </cell>
          <cell r="B19" t="str">
            <v>Materiales para el registro e identificación de bienes y personas</v>
          </cell>
          <cell r="C19" t="str">
            <v>N</v>
          </cell>
        </row>
        <row r="20">
          <cell r="A20">
            <v>218001</v>
          </cell>
          <cell r="B20" t="str">
            <v>Materiales para el registro e identificación de bienes y personas</v>
          </cell>
          <cell r="C20" t="str">
            <v>S</v>
          </cell>
        </row>
        <row r="21">
          <cell r="A21">
            <v>218002</v>
          </cell>
          <cell r="B21" t="str">
            <v>Placas, Engomados, Calcomanías y Hologramas</v>
          </cell>
          <cell r="C21" t="str">
            <v>S</v>
          </cell>
        </row>
        <row r="22">
          <cell r="A22">
            <v>218003</v>
          </cell>
          <cell r="B22" t="str">
            <v>Emisión de Licencias de Conducir</v>
          </cell>
          <cell r="C22" t="str">
            <v>S</v>
          </cell>
        </row>
        <row r="23">
          <cell r="A23">
            <v>218004</v>
          </cell>
          <cell r="B23" t="str">
            <v>Emisión de Formatos Únicos de Control Vehicular</v>
          </cell>
          <cell r="C23" t="str">
            <v>S</v>
          </cell>
        </row>
        <row r="24">
          <cell r="A24">
            <v>220000</v>
          </cell>
          <cell r="B24" t="str">
            <v>ALIMENTOS Y UTENSILIOS</v>
          </cell>
          <cell r="C24" t="str">
            <v>N</v>
          </cell>
        </row>
        <row r="25">
          <cell r="A25">
            <v>221000</v>
          </cell>
          <cell r="B25" t="str">
            <v>Productos alimenticios para personas</v>
          </cell>
          <cell r="C25" t="str">
            <v>N</v>
          </cell>
        </row>
        <row r="26">
          <cell r="A26">
            <v>221001</v>
          </cell>
          <cell r="B26" t="str">
            <v>Alimentación de personas</v>
          </cell>
          <cell r="C26" t="str">
            <v>S</v>
          </cell>
        </row>
        <row r="27">
          <cell r="A27">
            <v>222000</v>
          </cell>
          <cell r="B27" t="str">
            <v>Productos alimenticios para animales</v>
          </cell>
          <cell r="C27" t="str">
            <v>N</v>
          </cell>
        </row>
        <row r="28">
          <cell r="A28">
            <v>222001</v>
          </cell>
          <cell r="B28" t="str">
            <v>Alimentación de animales</v>
          </cell>
          <cell r="C28" t="str">
            <v>S</v>
          </cell>
        </row>
        <row r="29">
          <cell r="A29">
            <v>223000</v>
          </cell>
          <cell r="B29" t="str">
            <v>Utensilios para el servicio de alimentación</v>
          </cell>
          <cell r="C29" t="str">
            <v>N</v>
          </cell>
        </row>
        <row r="30">
          <cell r="A30">
            <v>223001</v>
          </cell>
          <cell r="B30" t="str">
            <v>Utensilios para el servicio de alimentación</v>
          </cell>
          <cell r="C30" t="str">
            <v>S</v>
          </cell>
        </row>
        <row r="31">
          <cell r="A31">
            <v>230000</v>
          </cell>
          <cell r="B31" t="str">
            <v>MATERIAS PRIMAS Y MATERIALES DE PRODUCCIÓN Y COMERCIALIZACIÓN</v>
          </cell>
          <cell r="C31" t="str">
            <v>N</v>
          </cell>
        </row>
        <row r="32">
          <cell r="A32">
            <v>231000</v>
          </cell>
          <cell r="B32" t="str">
            <v>Productos alimenticios, agropecuarios y forestales adquiridos como materia prima</v>
          </cell>
          <cell r="C32" t="str">
            <v>N</v>
          </cell>
        </row>
        <row r="33">
          <cell r="A33">
            <v>231001</v>
          </cell>
          <cell r="B33" t="str">
            <v>Materias primas para producción</v>
          </cell>
          <cell r="C33" t="str">
            <v>S</v>
          </cell>
        </row>
        <row r="34">
          <cell r="A34">
            <v>232000</v>
          </cell>
          <cell r="B34" t="str">
            <v>Insumos textiles adquiridos como materia prima</v>
          </cell>
          <cell r="C34" t="str">
            <v>N</v>
          </cell>
        </row>
        <row r="35">
          <cell r="A35">
            <v>232001</v>
          </cell>
          <cell r="B35" t="str">
            <v>Insumos textiles adquiridos como materia prima</v>
          </cell>
          <cell r="C35" t="str">
            <v>S</v>
          </cell>
        </row>
        <row r="36">
          <cell r="A36">
            <v>233000</v>
          </cell>
          <cell r="B36" t="str">
            <v>Productos de papel, cartón e impresos adquiridos como materia prima</v>
          </cell>
          <cell r="C36" t="str">
            <v>N</v>
          </cell>
        </row>
        <row r="37">
          <cell r="A37">
            <v>233001</v>
          </cell>
          <cell r="B37" t="str">
            <v>Productos de papel, cartón e impresos adquiridos como materia prima</v>
          </cell>
          <cell r="C37" t="str">
            <v>S</v>
          </cell>
        </row>
        <row r="38">
          <cell r="A38">
            <v>234000</v>
          </cell>
          <cell r="B38" t="str">
            <v>Combustibles, lubricantes, aditivos, carbón y sus derivados adquiridos como materia prima</v>
          </cell>
          <cell r="C38" t="str">
            <v>N</v>
          </cell>
        </row>
        <row r="39">
          <cell r="A39">
            <v>234001</v>
          </cell>
          <cell r="B39" t="str">
            <v>Combustibles, lubricantes, aditivos, carbón y sus derivados adquiridos como materia prima</v>
          </cell>
          <cell r="C39" t="str">
            <v>S</v>
          </cell>
        </row>
        <row r="40">
          <cell r="A40">
            <v>235000</v>
          </cell>
          <cell r="B40" t="str">
            <v>Productos químicos, farmacéuticos y de laboratorio adquiridos como materia prima</v>
          </cell>
          <cell r="C40" t="str">
            <v>N</v>
          </cell>
        </row>
        <row r="41">
          <cell r="A41">
            <v>235001</v>
          </cell>
          <cell r="B41" t="str">
            <v>Productos químicos, farmacéuticos y de laboratorio adquiridos como materia prima</v>
          </cell>
          <cell r="C41" t="str">
            <v>S</v>
          </cell>
        </row>
        <row r="42">
          <cell r="A42">
            <v>236000</v>
          </cell>
          <cell r="B42" t="str">
            <v>Productos metálicos y a base de minerales no metálicos adquiridos como materia prima</v>
          </cell>
          <cell r="C42" t="str">
            <v>N</v>
          </cell>
        </row>
        <row r="43">
          <cell r="A43">
            <v>236001</v>
          </cell>
          <cell r="B43" t="str">
            <v>Productos metálicos y a base de minerales no metálicos adquiridos como materia prima</v>
          </cell>
          <cell r="C43" t="str">
            <v>S</v>
          </cell>
        </row>
        <row r="44">
          <cell r="A44">
            <v>237000</v>
          </cell>
          <cell r="B44" t="str">
            <v>Productos de cuero, piel, plástico y hule adquiridos como materia prima</v>
          </cell>
          <cell r="C44" t="str">
            <v>N</v>
          </cell>
        </row>
        <row r="45">
          <cell r="A45">
            <v>237001</v>
          </cell>
          <cell r="B45" t="str">
            <v>Productos de cuero, piel, plástico y hule adquiridos como materia prima</v>
          </cell>
          <cell r="C45" t="str">
            <v>S</v>
          </cell>
        </row>
        <row r="46">
          <cell r="A46">
            <v>238000</v>
          </cell>
          <cell r="B46" t="str">
            <v>Mercancías adquiridas para su comercialización</v>
          </cell>
          <cell r="C46" t="str">
            <v>N</v>
          </cell>
        </row>
        <row r="47">
          <cell r="A47">
            <v>238001</v>
          </cell>
          <cell r="B47" t="str">
            <v>Mercancías adquiridas para su comercialización</v>
          </cell>
          <cell r="C47" t="str">
            <v>S</v>
          </cell>
        </row>
        <row r="48">
          <cell r="A48">
            <v>240000</v>
          </cell>
          <cell r="B48" t="str">
            <v>MATERIALES Y ARTÍCULOS DE CONSTRUCCIÓN Y DE REPARACIÓN</v>
          </cell>
          <cell r="C48" t="str">
            <v>N</v>
          </cell>
        </row>
        <row r="49">
          <cell r="A49">
            <v>241000</v>
          </cell>
          <cell r="B49" t="str">
            <v>Productos minerales no metálicos</v>
          </cell>
          <cell r="C49" t="str">
            <v>N</v>
          </cell>
        </row>
        <row r="50">
          <cell r="A50">
            <v>241001</v>
          </cell>
          <cell r="B50" t="str">
            <v>Productos minerales no metálicos</v>
          </cell>
          <cell r="C50" t="str">
            <v>S</v>
          </cell>
        </row>
        <row r="51">
          <cell r="A51">
            <v>242000</v>
          </cell>
          <cell r="B51" t="str">
            <v>Cemento y productos de concreto</v>
          </cell>
          <cell r="C51" t="str">
            <v>N</v>
          </cell>
        </row>
        <row r="52">
          <cell r="A52">
            <v>242001</v>
          </cell>
          <cell r="B52" t="str">
            <v>Cemento y productos de concreto</v>
          </cell>
          <cell r="C52" t="str">
            <v>S</v>
          </cell>
        </row>
        <row r="53">
          <cell r="A53">
            <v>243000</v>
          </cell>
          <cell r="B53" t="str">
            <v>Cal, yeso y productos de yeso</v>
          </cell>
          <cell r="C53" t="str">
            <v>N</v>
          </cell>
        </row>
        <row r="54">
          <cell r="A54">
            <v>243001</v>
          </cell>
          <cell r="B54" t="str">
            <v>Cal, yeso y productos de yeso</v>
          </cell>
          <cell r="C54" t="str">
            <v>S</v>
          </cell>
        </row>
        <row r="55">
          <cell r="A55">
            <v>244000</v>
          </cell>
          <cell r="B55" t="str">
            <v>Madera y productos de madera</v>
          </cell>
          <cell r="C55" t="str">
            <v>N</v>
          </cell>
        </row>
        <row r="56">
          <cell r="A56">
            <v>244001</v>
          </cell>
          <cell r="B56" t="str">
            <v>Madera y productos de madera</v>
          </cell>
          <cell r="C56" t="str">
            <v>S</v>
          </cell>
        </row>
        <row r="57">
          <cell r="A57">
            <v>245000</v>
          </cell>
          <cell r="B57" t="str">
            <v>Vidrio y productos de vidrio</v>
          </cell>
          <cell r="C57" t="str">
            <v>N</v>
          </cell>
        </row>
        <row r="58">
          <cell r="A58">
            <v>245001</v>
          </cell>
          <cell r="B58" t="str">
            <v>Vidrio y productos de vidrio</v>
          </cell>
          <cell r="C58" t="str">
            <v>S</v>
          </cell>
        </row>
        <row r="59">
          <cell r="A59">
            <v>246000</v>
          </cell>
          <cell r="B59" t="str">
            <v>Material eléctrico y electrónico</v>
          </cell>
          <cell r="C59" t="str">
            <v>N</v>
          </cell>
        </row>
        <row r="60">
          <cell r="A60">
            <v>246001</v>
          </cell>
          <cell r="B60" t="str">
            <v>Material eléctrico</v>
          </cell>
          <cell r="C60" t="str">
            <v>S</v>
          </cell>
        </row>
        <row r="61">
          <cell r="A61">
            <v>246002</v>
          </cell>
          <cell r="B61" t="str">
            <v>Material electrónico</v>
          </cell>
          <cell r="C61" t="str">
            <v>S</v>
          </cell>
        </row>
        <row r="62">
          <cell r="A62">
            <v>247000</v>
          </cell>
          <cell r="B62" t="str">
            <v>Artículos metálicos para la construcción</v>
          </cell>
          <cell r="C62" t="str">
            <v>N</v>
          </cell>
        </row>
        <row r="63">
          <cell r="A63">
            <v>247001</v>
          </cell>
          <cell r="B63" t="str">
            <v>Artículos metálicos para la construcción</v>
          </cell>
          <cell r="C63" t="str">
            <v>S</v>
          </cell>
        </row>
        <row r="64">
          <cell r="A64">
            <v>248000</v>
          </cell>
          <cell r="B64" t="str">
            <v>Materiales complementarios</v>
          </cell>
          <cell r="C64" t="str">
            <v>N</v>
          </cell>
        </row>
        <row r="65">
          <cell r="A65">
            <v>248001</v>
          </cell>
          <cell r="B65" t="str">
            <v>Materiales complementarios</v>
          </cell>
          <cell r="C65" t="str">
            <v>S</v>
          </cell>
        </row>
        <row r="66">
          <cell r="A66">
            <v>249000</v>
          </cell>
          <cell r="B66" t="str">
            <v>Otros materiales y artículos de construcción y reparación</v>
          </cell>
          <cell r="C66" t="str">
            <v>N</v>
          </cell>
        </row>
        <row r="67">
          <cell r="A67">
            <v>249001</v>
          </cell>
          <cell r="B67" t="str">
            <v>Materiales de construcción y complementarios</v>
          </cell>
          <cell r="C67" t="str">
            <v>S</v>
          </cell>
        </row>
        <row r="68">
          <cell r="A68">
            <v>249002</v>
          </cell>
          <cell r="B68" t="str">
            <v>Otros materiales de construcción y reparación</v>
          </cell>
          <cell r="C68" t="str">
            <v>S</v>
          </cell>
        </row>
        <row r="69">
          <cell r="A69">
            <v>250000</v>
          </cell>
          <cell r="B69" t="str">
            <v>PRODUCTOS QUÍMICOS, FARMACÉUTICOS Y DE LABORATORIO</v>
          </cell>
          <cell r="C69" t="str">
            <v>N</v>
          </cell>
        </row>
        <row r="70">
          <cell r="A70">
            <v>251000</v>
          </cell>
          <cell r="B70" t="str">
            <v>Productos químicos básicos</v>
          </cell>
          <cell r="C70" t="str">
            <v>N</v>
          </cell>
        </row>
        <row r="71">
          <cell r="A71">
            <v>251001</v>
          </cell>
          <cell r="B71" t="str">
            <v>Gas Refrigerante</v>
          </cell>
          <cell r="C71" t="str">
            <v>S</v>
          </cell>
        </row>
        <row r="72">
          <cell r="A72">
            <v>252000</v>
          </cell>
          <cell r="B72" t="str">
            <v>Fertilizantes, pesticidas y otros agroquímicos</v>
          </cell>
          <cell r="C72" t="str">
            <v>N</v>
          </cell>
        </row>
        <row r="73">
          <cell r="A73">
            <v>252001</v>
          </cell>
          <cell r="B73" t="str">
            <v>Fertilizantes, pesticidas y otros agroquímicos</v>
          </cell>
          <cell r="C73" t="str">
            <v>S</v>
          </cell>
        </row>
        <row r="74">
          <cell r="A74">
            <v>253000</v>
          </cell>
          <cell r="B74" t="str">
            <v>Medicinas y productos químicos, farmacéuticos</v>
          </cell>
          <cell r="C74" t="str">
            <v>N</v>
          </cell>
        </row>
        <row r="75">
          <cell r="A75">
            <v>253001</v>
          </cell>
          <cell r="B75" t="str">
            <v>Material y productos químicos, farmacéuticos</v>
          </cell>
          <cell r="C75" t="str">
            <v>S</v>
          </cell>
        </row>
        <row r="76">
          <cell r="A76">
            <v>254000</v>
          </cell>
          <cell r="B76" t="str">
            <v>Materiales, accesorios y suministros médicos</v>
          </cell>
          <cell r="C76" t="str">
            <v>N</v>
          </cell>
        </row>
        <row r="77">
          <cell r="A77">
            <v>254001</v>
          </cell>
          <cell r="B77" t="str">
            <v>Materiales, accesorios y suministros médicos</v>
          </cell>
          <cell r="C77" t="str">
            <v>S</v>
          </cell>
        </row>
        <row r="78">
          <cell r="A78">
            <v>255000</v>
          </cell>
          <cell r="B78" t="str">
            <v>Materiales, accesorios y suministros de laboratorio</v>
          </cell>
          <cell r="C78" t="str">
            <v>N</v>
          </cell>
        </row>
        <row r="79">
          <cell r="A79">
            <v>255001</v>
          </cell>
          <cell r="B79" t="str">
            <v>Materiales, accesorios y suministros de laboratorio</v>
          </cell>
          <cell r="C79" t="str">
            <v>S</v>
          </cell>
        </row>
        <row r="80">
          <cell r="A80">
            <v>256000</v>
          </cell>
          <cell r="B80" t="str">
            <v>Fibras sintéticas, hules, plásticos y derivados</v>
          </cell>
          <cell r="C80" t="str">
            <v>N</v>
          </cell>
        </row>
        <row r="81">
          <cell r="A81">
            <v>256001</v>
          </cell>
          <cell r="B81" t="str">
            <v>Fibras sintéticas, hules, plásticos y derivados</v>
          </cell>
          <cell r="C81" t="str">
            <v>S</v>
          </cell>
        </row>
        <row r="82">
          <cell r="A82">
            <v>259000</v>
          </cell>
          <cell r="B82" t="str">
            <v>Otros productos químicos</v>
          </cell>
          <cell r="C82" t="str">
            <v>N</v>
          </cell>
        </row>
        <row r="83">
          <cell r="A83">
            <v>259001</v>
          </cell>
          <cell r="B83" t="str">
            <v>Otros productos químicos</v>
          </cell>
          <cell r="C83" t="str">
            <v>S</v>
          </cell>
        </row>
        <row r="84">
          <cell r="A84">
            <v>260000</v>
          </cell>
          <cell r="B84" t="str">
            <v>COMBUSTIBLES, LUBRICANTES Y ADITIVOS</v>
          </cell>
          <cell r="C84" t="str">
            <v>N</v>
          </cell>
        </row>
        <row r="85">
          <cell r="A85">
            <v>261000</v>
          </cell>
          <cell r="B85" t="str">
            <v>Combustibles, lubricantes y aditivos</v>
          </cell>
          <cell r="C85" t="str">
            <v>N</v>
          </cell>
        </row>
        <row r="86">
          <cell r="A86">
            <v>261001</v>
          </cell>
          <cell r="B86" t="str">
            <v>Combustibles</v>
          </cell>
          <cell r="C86" t="str">
            <v>S</v>
          </cell>
        </row>
        <row r="87">
          <cell r="A87">
            <v>261002</v>
          </cell>
          <cell r="B87" t="str">
            <v>Lubricantes y aditivos</v>
          </cell>
          <cell r="C87" t="str">
            <v>S</v>
          </cell>
        </row>
        <row r="88">
          <cell r="A88">
            <v>262000</v>
          </cell>
          <cell r="B88" t="str">
            <v>Carbón y sus derivados</v>
          </cell>
          <cell r="C88" t="str">
            <v>N</v>
          </cell>
        </row>
        <row r="89">
          <cell r="A89">
            <v>262001</v>
          </cell>
          <cell r="B89" t="str">
            <v>Carbón y sus derivados</v>
          </cell>
          <cell r="C89" t="str">
            <v>S</v>
          </cell>
        </row>
        <row r="90">
          <cell r="A90">
            <v>270000</v>
          </cell>
          <cell r="B90" t="str">
            <v>VESTUARIO, BLANCOS, PRENDAS DE PROTECCIÓN Y ARTÍCULOS DEPORTIVOS</v>
          </cell>
          <cell r="C90" t="str">
            <v>N</v>
          </cell>
        </row>
        <row r="91">
          <cell r="A91">
            <v>271000</v>
          </cell>
          <cell r="B91" t="str">
            <v>Vestuario y uniformes</v>
          </cell>
          <cell r="C91" t="str">
            <v>N</v>
          </cell>
        </row>
        <row r="92">
          <cell r="A92">
            <v>271001</v>
          </cell>
          <cell r="B92" t="str">
            <v>Ropa, vestuario y equipo</v>
          </cell>
          <cell r="C92" t="str">
            <v>S</v>
          </cell>
        </row>
        <row r="93">
          <cell r="A93">
            <v>272000</v>
          </cell>
          <cell r="B93" t="str">
            <v>Prendas de seguridad y protección personal</v>
          </cell>
          <cell r="C93" t="str">
            <v>N</v>
          </cell>
        </row>
        <row r="94">
          <cell r="A94">
            <v>272001</v>
          </cell>
          <cell r="B94" t="str">
            <v>Materiales explosivos y de seguridad pública</v>
          </cell>
          <cell r="C94" t="str">
            <v>S</v>
          </cell>
        </row>
        <row r="95">
          <cell r="A95">
            <v>272002</v>
          </cell>
          <cell r="B95" t="str">
            <v>Prendas de seguridad y protección personal</v>
          </cell>
          <cell r="C95" t="str">
            <v>S</v>
          </cell>
        </row>
        <row r="96">
          <cell r="A96">
            <v>273000</v>
          </cell>
          <cell r="B96" t="str">
            <v>Artículos deportivos</v>
          </cell>
          <cell r="C96" t="str">
            <v>N</v>
          </cell>
        </row>
        <row r="97">
          <cell r="A97">
            <v>273001</v>
          </cell>
          <cell r="B97" t="str">
            <v>Artículos deportivos</v>
          </cell>
          <cell r="C97" t="str">
            <v>S</v>
          </cell>
        </row>
        <row r="98">
          <cell r="A98">
            <v>274000</v>
          </cell>
          <cell r="B98" t="str">
            <v>Productos textiles</v>
          </cell>
          <cell r="C98" t="str">
            <v>N</v>
          </cell>
        </row>
        <row r="99">
          <cell r="A99">
            <v>274001</v>
          </cell>
          <cell r="B99" t="str">
            <v>Productos textiles</v>
          </cell>
          <cell r="C99" t="str">
            <v>S</v>
          </cell>
        </row>
        <row r="100">
          <cell r="A100">
            <v>275000</v>
          </cell>
          <cell r="B100" t="str">
            <v>Blancos y otros productos textiles, excepto prendas de vestir</v>
          </cell>
          <cell r="C100" t="str">
            <v>N</v>
          </cell>
        </row>
        <row r="101">
          <cell r="A101">
            <v>275001</v>
          </cell>
          <cell r="B101" t="str">
            <v>Blancos y otros productos textiles, excepto prendas de vestir</v>
          </cell>
          <cell r="C101" t="str">
            <v>S</v>
          </cell>
        </row>
        <row r="102">
          <cell r="A102">
            <v>280000</v>
          </cell>
          <cell r="B102" t="str">
            <v>MATERIALES Y SUMINISTROS PARA SEGURIDAD</v>
          </cell>
          <cell r="C102" t="str">
            <v>N</v>
          </cell>
        </row>
        <row r="103">
          <cell r="A103">
            <v>281000</v>
          </cell>
          <cell r="B103" t="str">
            <v>Sustancias y materiales explosivos</v>
          </cell>
          <cell r="C103" t="str">
            <v>N</v>
          </cell>
        </row>
        <row r="104">
          <cell r="A104">
            <v>281001</v>
          </cell>
          <cell r="B104" t="str">
            <v>Sustancias y materiales explosivos</v>
          </cell>
          <cell r="C104" t="str">
            <v>S</v>
          </cell>
        </row>
        <row r="105">
          <cell r="A105">
            <v>282000</v>
          </cell>
          <cell r="B105" t="str">
            <v>Materiales de seguridad pública</v>
          </cell>
          <cell r="C105" t="str">
            <v>N</v>
          </cell>
        </row>
        <row r="106">
          <cell r="A106">
            <v>282001</v>
          </cell>
          <cell r="B106" t="str">
            <v>Materiales de seguridad pública</v>
          </cell>
          <cell r="C106" t="str">
            <v>S</v>
          </cell>
        </row>
        <row r="107">
          <cell r="A107">
            <v>283000</v>
          </cell>
          <cell r="B107" t="str">
            <v>Prendas de protección para seguridad pública y nacional</v>
          </cell>
          <cell r="C107" t="str">
            <v>N</v>
          </cell>
        </row>
        <row r="108">
          <cell r="A108">
            <v>283001</v>
          </cell>
          <cell r="B108" t="str">
            <v>Prendas de protección para seguridad pública</v>
          </cell>
          <cell r="C108" t="str">
            <v>S</v>
          </cell>
        </row>
        <row r="109">
          <cell r="A109">
            <v>290000</v>
          </cell>
          <cell r="B109" t="str">
            <v>HERRAMIENTAS, REFACCIONES Y ACCESORIOS MENORES</v>
          </cell>
          <cell r="C109" t="str">
            <v>N</v>
          </cell>
        </row>
        <row r="110">
          <cell r="A110">
            <v>291000</v>
          </cell>
          <cell r="B110" t="str">
            <v>Herramientas menores</v>
          </cell>
          <cell r="C110" t="str">
            <v>N</v>
          </cell>
        </row>
        <row r="111">
          <cell r="A111">
            <v>291001</v>
          </cell>
          <cell r="B111" t="str">
            <v>Herramientas Auxiliares de Trabajo</v>
          </cell>
          <cell r="C111" t="str">
            <v>S</v>
          </cell>
        </row>
        <row r="112">
          <cell r="A112">
            <v>292000</v>
          </cell>
          <cell r="B112" t="str">
            <v>Refacciones y accesorios menores de edificios</v>
          </cell>
          <cell r="C112" t="str">
            <v>N</v>
          </cell>
        </row>
        <row r="113">
          <cell r="A113">
            <v>292001</v>
          </cell>
          <cell r="B113" t="str">
            <v>Refacciones y accesorios menores de edificios (candados, cerraduras, chapas, llaves)</v>
          </cell>
          <cell r="C113" t="str">
            <v>S</v>
          </cell>
        </row>
        <row r="114">
          <cell r="A114">
            <v>293000</v>
          </cell>
          <cell r="B114" t="str">
            <v>Refacciones y accesorios menores de mobiliario y equipo de administración, educacional y recreativo</v>
          </cell>
          <cell r="C114" t="str">
            <v>N</v>
          </cell>
        </row>
        <row r="115">
          <cell r="A115">
            <v>293001</v>
          </cell>
          <cell r="B115" t="str">
            <v>Refacciones y accesorios menores de mobiliario y equipo de administración, educacional y recreativo</v>
          </cell>
          <cell r="C115" t="str">
            <v>S</v>
          </cell>
        </row>
        <row r="116">
          <cell r="A116">
            <v>294000</v>
          </cell>
          <cell r="B116" t="str">
            <v>Refacciones y accesorios menores de equipo de cómputo y tecnologías de la información</v>
          </cell>
          <cell r="C116" t="str">
            <v>N</v>
          </cell>
        </row>
        <row r="117">
          <cell r="A117">
            <v>294001</v>
          </cell>
          <cell r="B117" t="str">
            <v>Dispositivos Internos y Externos de Equipo de Computo</v>
          </cell>
          <cell r="C117" t="str">
            <v>S</v>
          </cell>
        </row>
        <row r="118">
          <cell r="A118">
            <v>294002</v>
          </cell>
          <cell r="B118" t="str">
            <v>Refacciones y Accesorios Menores de Equipo de Computo</v>
          </cell>
          <cell r="C118" t="str">
            <v>S</v>
          </cell>
        </row>
        <row r="119">
          <cell r="A119">
            <v>295000</v>
          </cell>
          <cell r="B119" t="str">
            <v>Refacciones y accesorios menores de equipo e instrumental médico y de laboratorio</v>
          </cell>
          <cell r="C119" t="str">
            <v>N</v>
          </cell>
        </row>
        <row r="120">
          <cell r="A120">
            <v>295001</v>
          </cell>
          <cell r="B120" t="str">
            <v>Refacciones y accesorios menores de equipo e instrumental médico y de laboratorio</v>
          </cell>
          <cell r="C120" t="str">
            <v>S</v>
          </cell>
        </row>
        <row r="121">
          <cell r="A121">
            <v>296000</v>
          </cell>
          <cell r="B121" t="str">
            <v>Refacciones y accesorios menores de equipo de transporte</v>
          </cell>
          <cell r="C121" t="str">
            <v>N</v>
          </cell>
        </row>
        <row r="122">
          <cell r="A122">
            <v>296001</v>
          </cell>
          <cell r="B122" t="str">
            <v>Herramientas, refacciones y accesorios</v>
          </cell>
          <cell r="C122" t="str">
            <v>S</v>
          </cell>
        </row>
        <row r="123">
          <cell r="A123">
            <v>297000</v>
          </cell>
          <cell r="B123" t="str">
            <v>Refacciones y accesorios menores de equipo de defensa y seguridad</v>
          </cell>
          <cell r="C123" t="str">
            <v>N</v>
          </cell>
        </row>
        <row r="124">
          <cell r="A124">
            <v>297001</v>
          </cell>
          <cell r="B124" t="str">
            <v>Refacciones y accesorios menores de equipo de defensa y seguridad</v>
          </cell>
          <cell r="C124" t="str">
            <v>S</v>
          </cell>
        </row>
        <row r="125">
          <cell r="A125">
            <v>298000</v>
          </cell>
          <cell r="B125" t="str">
            <v>Refacciones y accesorios menores de maquinaria y otros equipos</v>
          </cell>
          <cell r="C125" t="str">
            <v>N</v>
          </cell>
        </row>
        <row r="126">
          <cell r="A126">
            <v>298001</v>
          </cell>
          <cell r="B126" t="str">
            <v>Refacciones y accesorios menores de maquinaria y otros equipos</v>
          </cell>
          <cell r="C126" t="str">
            <v>S</v>
          </cell>
        </row>
        <row r="127">
          <cell r="A127">
            <v>299000</v>
          </cell>
          <cell r="B127" t="str">
            <v>Refacciones y accesorios menores otros bienes muebles</v>
          </cell>
          <cell r="C127" t="str">
            <v>N</v>
          </cell>
        </row>
        <row r="128">
          <cell r="A128">
            <v>299001</v>
          </cell>
          <cell r="B128" t="str">
            <v>Refacciones y accesorios menores otros bienes muebles</v>
          </cell>
          <cell r="C128" t="str">
            <v>S</v>
          </cell>
        </row>
        <row r="129">
          <cell r="A129">
            <v>300000</v>
          </cell>
          <cell r="B129" t="str">
            <v>SERVICIOS GENERALES</v>
          </cell>
          <cell r="C129" t="str">
            <v>N</v>
          </cell>
        </row>
        <row r="130">
          <cell r="A130">
            <v>310000</v>
          </cell>
          <cell r="B130" t="str">
            <v>SERVICIOS BÁSICOS</v>
          </cell>
          <cell r="C130" t="str">
            <v>N</v>
          </cell>
        </row>
        <row r="131">
          <cell r="A131">
            <v>311000</v>
          </cell>
          <cell r="B131" t="str">
            <v>Energía eléctrica</v>
          </cell>
          <cell r="C131" t="str">
            <v>N</v>
          </cell>
        </row>
        <row r="132">
          <cell r="A132">
            <v>311001</v>
          </cell>
          <cell r="B132" t="str">
            <v>Servicio de energía eléctrica</v>
          </cell>
          <cell r="C132" t="str">
            <v>S</v>
          </cell>
        </row>
        <row r="133">
          <cell r="A133">
            <v>311002</v>
          </cell>
          <cell r="B133" t="str">
            <v>Contratación del servicio de energía eléctrica</v>
          </cell>
          <cell r="C133" t="str">
            <v>S</v>
          </cell>
        </row>
        <row r="134">
          <cell r="A134">
            <v>312000</v>
          </cell>
          <cell r="B134" t="str">
            <v>Gas</v>
          </cell>
          <cell r="C134" t="str">
            <v>N</v>
          </cell>
        </row>
        <row r="135">
          <cell r="A135">
            <v>312001</v>
          </cell>
          <cell r="B135" t="str">
            <v>Servicio de Gas L.P.</v>
          </cell>
          <cell r="C135" t="str">
            <v>S</v>
          </cell>
        </row>
        <row r="136">
          <cell r="A136">
            <v>313000</v>
          </cell>
          <cell r="B136" t="str">
            <v>Agua</v>
          </cell>
          <cell r="C136" t="str">
            <v>N</v>
          </cell>
        </row>
        <row r="137">
          <cell r="A137">
            <v>313001</v>
          </cell>
          <cell r="B137" t="str">
            <v>Servicio de agua potable</v>
          </cell>
          <cell r="C137" t="str">
            <v>S</v>
          </cell>
        </row>
        <row r="138">
          <cell r="A138">
            <v>313002</v>
          </cell>
          <cell r="B138" t="str">
            <v>Contratación del servicio de agua potable</v>
          </cell>
          <cell r="C138" t="str">
            <v>S</v>
          </cell>
        </row>
        <row r="139">
          <cell r="A139">
            <v>314000</v>
          </cell>
          <cell r="B139" t="str">
            <v>Telefonía tradicional</v>
          </cell>
          <cell r="C139" t="str">
            <v>N</v>
          </cell>
        </row>
        <row r="140">
          <cell r="A140">
            <v>314001</v>
          </cell>
          <cell r="B140" t="str">
            <v>Servicio telefónico</v>
          </cell>
          <cell r="C140" t="str">
            <v>S</v>
          </cell>
        </row>
        <row r="141">
          <cell r="A141">
            <v>315000</v>
          </cell>
          <cell r="B141" t="str">
            <v>Telefonía celular</v>
          </cell>
          <cell r="C141" t="str">
            <v>N</v>
          </cell>
        </row>
        <row r="142">
          <cell r="A142">
            <v>315001</v>
          </cell>
          <cell r="B142" t="str">
            <v>Telefonía celular</v>
          </cell>
          <cell r="C142" t="str">
            <v>S</v>
          </cell>
        </row>
        <row r="143">
          <cell r="A143">
            <v>316000</v>
          </cell>
          <cell r="B143" t="str">
            <v>Servicios de telecomunicaciones y satélites</v>
          </cell>
          <cell r="C143" t="str">
            <v>N</v>
          </cell>
        </row>
        <row r="144">
          <cell r="A144">
            <v>316001</v>
          </cell>
          <cell r="B144" t="str">
            <v>Servicios de telecomunicaciones y satélites</v>
          </cell>
          <cell r="C144" t="str">
            <v>S</v>
          </cell>
        </row>
        <row r="145">
          <cell r="A145">
            <v>317000</v>
          </cell>
          <cell r="B145" t="str">
            <v>Servicios de acceso de Internet, redes y procesamiento de información</v>
          </cell>
          <cell r="C145" t="str">
            <v>N</v>
          </cell>
        </row>
        <row r="146">
          <cell r="A146">
            <v>317001</v>
          </cell>
          <cell r="B146" t="str">
            <v>Servicios de acceso de Internet, redes y procesamiento de información</v>
          </cell>
          <cell r="C146" t="str">
            <v>S</v>
          </cell>
        </row>
        <row r="147">
          <cell r="A147">
            <v>318000</v>
          </cell>
          <cell r="B147" t="str">
            <v>Servicios postales y telegráficos</v>
          </cell>
          <cell r="C147" t="str">
            <v>N</v>
          </cell>
        </row>
        <row r="148">
          <cell r="A148">
            <v>318001</v>
          </cell>
          <cell r="B148" t="str">
            <v>Servicio postal y telegráfico</v>
          </cell>
          <cell r="C148" t="str">
            <v>S</v>
          </cell>
        </row>
        <row r="149">
          <cell r="A149">
            <v>319000</v>
          </cell>
          <cell r="B149" t="str">
            <v>Servicios integrales y otros servicios</v>
          </cell>
          <cell r="C149" t="str">
            <v>N</v>
          </cell>
        </row>
        <row r="150">
          <cell r="A150">
            <v>319001</v>
          </cell>
          <cell r="B150" t="str">
            <v>Servicios Integrales</v>
          </cell>
          <cell r="C150" t="str">
            <v>S</v>
          </cell>
        </row>
        <row r="151">
          <cell r="A151">
            <v>320000</v>
          </cell>
          <cell r="B151" t="str">
            <v>SERVICIOS DE ARRENDAMIENTO</v>
          </cell>
          <cell r="C151" t="str">
            <v>N</v>
          </cell>
        </row>
        <row r="152">
          <cell r="A152">
            <v>321000</v>
          </cell>
          <cell r="B152" t="str">
            <v>Arrendamiento de terrenos</v>
          </cell>
          <cell r="C152" t="str">
            <v>N</v>
          </cell>
        </row>
        <row r="153">
          <cell r="A153">
            <v>321001</v>
          </cell>
          <cell r="B153" t="str">
            <v>Arrendamiento de terrenos</v>
          </cell>
          <cell r="C153" t="str">
            <v>S</v>
          </cell>
        </row>
        <row r="154">
          <cell r="A154">
            <v>322000</v>
          </cell>
          <cell r="B154" t="str">
            <v>Arrendamiento de edificios</v>
          </cell>
          <cell r="C154" t="str">
            <v>N</v>
          </cell>
        </row>
        <row r="155">
          <cell r="A155">
            <v>322001</v>
          </cell>
          <cell r="B155" t="str">
            <v>Arrendamiento de edificios</v>
          </cell>
          <cell r="C155" t="str">
            <v>S</v>
          </cell>
        </row>
        <row r="156">
          <cell r="A156">
            <v>323000</v>
          </cell>
          <cell r="B156" t="str">
            <v>Arrendamiento de mobiliario y equipo de administración, educacional y recreativo</v>
          </cell>
          <cell r="C156" t="str">
            <v>N</v>
          </cell>
        </row>
        <row r="157">
          <cell r="A157">
            <v>323001</v>
          </cell>
          <cell r="B157" t="str">
            <v>Arrendamiento de maquinaria y equipo</v>
          </cell>
          <cell r="C157" t="str">
            <v>S</v>
          </cell>
        </row>
        <row r="158">
          <cell r="A158">
            <v>323002</v>
          </cell>
          <cell r="B158" t="str">
            <v>Arrendamiento de maquinaria y equipo de Administración</v>
          </cell>
          <cell r="C158" t="str">
            <v>S</v>
          </cell>
        </row>
        <row r="159">
          <cell r="A159">
            <v>323003</v>
          </cell>
          <cell r="B159" t="str">
            <v>Arrendamiento de Equipo Educacional y Recreativo</v>
          </cell>
          <cell r="C159" t="str">
            <v>S</v>
          </cell>
        </row>
        <row r="160">
          <cell r="A160">
            <v>323004</v>
          </cell>
          <cell r="B160" t="str">
            <v>Arrendamiento de Mobiliario y Equipo</v>
          </cell>
          <cell r="C160" t="str">
            <v>S</v>
          </cell>
        </row>
        <row r="161">
          <cell r="A161">
            <v>324000</v>
          </cell>
          <cell r="B161" t="str">
            <v>Arrendamiento de equipo e instrumental médico y de laboratorio</v>
          </cell>
          <cell r="C161" t="str">
            <v>N</v>
          </cell>
        </row>
        <row r="162">
          <cell r="A162">
            <v>324001</v>
          </cell>
          <cell r="B162" t="str">
            <v>Arrendamiento de equipo e instrumental médico y de laboratorio</v>
          </cell>
          <cell r="C162" t="str">
            <v>S</v>
          </cell>
        </row>
        <row r="163">
          <cell r="A163">
            <v>325000</v>
          </cell>
          <cell r="B163" t="str">
            <v>Arrendamiento de equipo de transporte</v>
          </cell>
          <cell r="C163" t="str">
            <v>N</v>
          </cell>
        </row>
        <row r="164">
          <cell r="A164">
            <v>325001</v>
          </cell>
          <cell r="B164" t="str">
            <v>Arrendamiento de equipo de transporte</v>
          </cell>
          <cell r="C164" t="str">
            <v>S</v>
          </cell>
        </row>
        <row r="165">
          <cell r="A165">
            <v>326000</v>
          </cell>
          <cell r="B165" t="str">
            <v>Arrendamiento de maquinaria, otros equipos y herramientas</v>
          </cell>
          <cell r="C165" t="str">
            <v>N</v>
          </cell>
        </row>
        <row r="166">
          <cell r="A166">
            <v>326001</v>
          </cell>
          <cell r="B166" t="str">
            <v>Arrendamiento de maquinaria, otros equipos y herramientas</v>
          </cell>
          <cell r="C166" t="str">
            <v>S</v>
          </cell>
        </row>
        <row r="167">
          <cell r="A167">
            <v>327000</v>
          </cell>
          <cell r="B167" t="str">
            <v>Arrendamiento de activos intangibles</v>
          </cell>
          <cell r="C167" t="str">
            <v>N</v>
          </cell>
        </row>
        <row r="168">
          <cell r="A168">
            <v>327001</v>
          </cell>
          <cell r="B168" t="str">
            <v>Arrendamiento de activos intangibles</v>
          </cell>
          <cell r="C168" t="str">
            <v>S</v>
          </cell>
        </row>
        <row r="169">
          <cell r="A169">
            <v>328000</v>
          </cell>
          <cell r="B169" t="str">
            <v>Arrendamiento financiero</v>
          </cell>
          <cell r="C169" t="str">
            <v>N</v>
          </cell>
        </row>
        <row r="170">
          <cell r="A170">
            <v>328001</v>
          </cell>
          <cell r="B170" t="str">
            <v>Arrendamiento financiero</v>
          </cell>
          <cell r="C170" t="str">
            <v>S</v>
          </cell>
        </row>
        <row r="171">
          <cell r="A171">
            <v>328002</v>
          </cell>
          <cell r="B171" t="str">
            <v>Programa Estatal de Arrendamiento Vehicular</v>
          </cell>
          <cell r="C171" t="str">
            <v>S</v>
          </cell>
        </row>
        <row r="172">
          <cell r="A172">
            <v>329000</v>
          </cell>
          <cell r="B172" t="str">
            <v>Otros arrendamientos</v>
          </cell>
          <cell r="C172" t="str">
            <v>N</v>
          </cell>
        </row>
        <row r="173">
          <cell r="A173">
            <v>329001</v>
          </cell>
          <cell r="B173" t="str">
            <v>Arrendamientos especiales</v>
          </cell>
          <cell r="C173" t="str">
            <v>S</v>
          </cell>
        </row>
        <row r="174">
          <cell r="A174">
            <v>330000</v>
          </cell>
          <cell r="B174" t="str">
            <v>SERVICIOS PROFESIONALES, CIENTÍFICOS, TÉCNICOS Y OTROS SERVICIOS</v>
          </cell>
          <cell r="C174" t="str">
            <v>N</v>
          </cell>
        </row>
        <row r="175">
          <cell r="A175">
            <v>331000</v>
          </cell>
          <cell r="B175" t="str">
            <v>Servicios legales, de contabilidad, auditoría y relacionados</v>
          </cell>
          <cell r="C175" t="str">
            <v>N</v>
          </cell>
        </row>
        <row r="176">
          <cell r="A176">
            <v>331001</v>
          </cell>
          <cell r="B176" t="str">
            <v>Asesorías</v>
          </cell>
          <cell r="C176" t="str">
            <v>S</v>
          </cell>
        </row>
        <row r="177">
          <cell r="A177">
            <v>331002</v>
          </cell>
          <cell r="B177" t="str">
            <v>Servicios Notariales</v>
          </cell>
          <cell r="C177" t="str">
            <v>S</v>
          </cell>
        </row>
        <row r="178">
          <cell r="A178">
            <v>331003</v>
          </cell>
          <cell r="B178" t="str">
            <v>Consultoría y Gestión</v>
          </cell>
          <cell r="C178" t="str">
            <v>S</v>
          </cell>
        </row>
        <row r="179">
          <cell r="A179">
            <v>332000</v>
          </cell>
          <cell r="B179" t="str">
            <v>Servicios de diseño, arquitectura, ingeniería y actividades relacionadas</v>
          </cell>
          <cell r="C179" t="str">
            <v>N</v>
          </cell>
        </row>
        <row r="180">
          <cell r="A180">
            <v>332001</v>
          </cell>
          <cell r="B180" t="str">
            <v>Servicios de diseño, arquitectura, ingeniería y actividades relacionadas</v>
          </cell>
          <cell r="C180" t="str">
            <v>S</v>
          </cell>
        </row>
        <row r="181">
          <cell r="A181">
            <v>333000</v>
          </cell>
          <cell r="B181" t="str">
            <v>Servicios de consultoría administrativa, procesos, técnica y en tecnologías de la información</v>
          </cell>
          <cell r="C181" t="str">
            <v>N</v>
          </cell>
        </row>
        <row r="182">
          <cell r="A182">
            <v>333001</v>
          </cell>
          <cell r="B182" t="str">
            <v>Estudios e investigaciones</v>
          </cell>
          <cell r="C182" t="str">
            <v>S</v>
          </cell>
        </row>
        <row r="183">
          <cell r="A183">
            <v>333002</v>
          </cell>
          <cell r="B183" t="str">
            <v>Sistematización de la Armonización Contable y Presupuestal</v>
          </cell>
          <cell r="C183" t="str">
            <v>S</v>
          </cell>
        </row>
        <row r="184">
          <cell r="A184">
            <v>333003</v>
          </cell>
          <cell r="B184" t="str">
            <v>Servicios de consultoría administrativa, procesos, técnica y en tecnologías de la información</v>
          </cell>
          <cell r="C184" t="str">
            <v>S</v>
          </cell>
        </row>
        <row r="185">
          <cell r="A185">
            <v>334000</v>
          </cell>
          <cell r="B185" t="str">
            <v>Servicios de capacitación</v>
          </cell>
          <cell r="C185" t="str">
            <v>N</v>
          </cell>
        </row>
        <row r="186">
          <cell r="A186">
            <v>334001</v>
          </cell>
          <cell r="B186" t="str">
            <v>Cuotas e inscripciones</v>
          </cell>
          <cell r="C186" t="str">
            <v>S</v>
          </cell>
        </row>
        <row r="187">
          <cell r="A187">
            <v>334002</v>
          </cell>
          <cell r="B187" t="str">
            <v>Servicios de Capacitación</v>
          </cell>
          <cell r="C187" t="str">
            <v>S</v>
          </cell>
        </row>
        <row r="188">
          <cell r="A188">
            <v>335000</v>
          </cell>
          <cell r="B188" t="str">
            <v>Servicios de investigación científica y desarrollo</v>
          </cell>
          <cell r="C188" t="str">
            <v>N</v>
          </cell>
        </row>
        <row r="189">
          <cell r="A189">
            <v>335001</v>
          </cell>
          <cell r="B189" t="str">
            <v>Servicios de investigación científica y desarrollo</v>
          </cell>
          <cell r="C189" t="str">
            <v>S</v>
          </cell>
        </row>
        <row r="190">
          <cell r="A190">
            <v>336000</v>
          </cell>
          <cell r="B190" t="str">
            <v>Servicios de apoyo administrativo, traducción, fotocopiado e impresión</v>
          </cell>
          <cell r="C190" t="str">
            <v>N</v>
          </cell>
        </row>
        <row r="191">
          <cell r="A191">
            <v>336001</v>
          </cell>
          <cell r="B191" t="str">
            <v>Servicio de Fotocopiado, Enmicado y Encuadernación de Documentos.</v>
          </cell>
          <cell r="C191" t="str">
            <v>S</v>
          </cell>
        </row>
        <row r="192">
          <cell r="A192">
            <v>336002</v>
          </cell>
          <cell r="B192" t="str">
            <v>Servicio de Impresión y Elaboración de Material Informativo</v>
          </cell>
          <cell r="C192" t="str">
            <v>S</v>
          </cell>
        </row>
        <row r="193">
          <cell r="A193">
            <v>337000</v>
          </cell>
          <cell r="B193" t="str">
            <v>Servicios de protección y seguridad</v>
          </cell>
          <cell r="C193" t="str">
            <v>N</v>
          </cell>
        </row>
        <row r="194">
          <cell r="A194">
            <v>337001</v>
          </cell>
          <cell r="B194" t="str">
            <v>Dispositivo de seguridad pública</v>
          </cell>
          <cell r="C194" t="str">
            <v>S</v>
          </cell>
        </row>
        <row r="195">
          <cell r="A195">
            <v>338000</v>
          </cell>
          <cell r="B195" t="str">
            <v>Servicios de vigilancia</v>
          </cell>
          <cell r="C195" t="str">
            <v>N</v>
          </cell>
        </row>
        <row r="196">
          <cell r="A196">
            <v>338001</v>
          </cell>
          <cell r="B196" t="str">
            <v>Servicio de seguridad privada</v>
          </cell>
          <cell r="C196" t="str">
            <v>S</v>
          </cell>
        </row>
        <row r="197">
          <cell r="A197">
            <v>339000</v>
          </cell>
          <cell r="B197" t="str">
            <v>Servicios profesionales, científicos y técnicos integrales</v>
          </cell>
          <cell r="C197" t="str">
            <v>N</v>
          </cell>
        </row>
        <row r="198">
          <cell r="A198">
            <v>339001</v>
          </cell>
          <cell r="B198" t="str">
            <v>Servicios profesionales, científicos y técnicos integrales</v>
          </cell>
          <cell r="C198" t="str">
            <v>S</v>
          </cell>
        </row>
        <row r="199">
          <cell r="A199">
            <v>340000</v>
          </cell>
          <cell r="B199" t="str">
            <v>SERVICIOS FINANCIEROS, BANCARIOS Y COMERCIALES</v>
          </cell>
          <cell r="C199" t="str">
            <v>N</v>
          </cell>
        </row>
        <row r="200">
          <cell r="A200">
            <v>341000</v>
          </cell>
          <cell r="B200" t="str">
            <v>Servicios financieros y bancarios</v>
          </cell>
          <cell r="C200" t="str">
            <v>N</v>
          </cell>
        </row>
        <row r="201">
          <cell r="A201">
            <v>341001</v>
          </cell>
          <cell r="B201" t="str">
            <v>Comisiones, descuentos y otros servicios bancarios</v>
          </cell>
          <cell r="C201" t="str">
            <v>S</v>
          </cell>
        </row>
        <row r="202">
          <cell r="A202">
            <v>342000</v>
          </cell>
          <cell r="B202" t="str">
            <v>Servicios de cobranza, investigación crediticia y similar</v>
          </cell>
          <cell r="C202" t="str">
            <v>N</v>
          </cell>
        </row>
        <row r="203">
          <cell r="A203">
            <v>342001</v>
          </cell>
          <cell r="B203" t="str">
            <v>Servicios de cobranza, investigación crediticia y similar</v>
          </cell>
          <cell r="C203" t="str">
            <v>S</v>
          </cell>
        </row>
        <row r="204">
          <cell r="A204">
            <v>343000</v>
          </cell>
          <cell r="B204" t="str">
            <v>Servicios de recaudación, traslado y custodia de valores</v>
          </cell>
          <cell r="C204" t="str">
            <v>N</v>
          </cell>
        </row>
        <row r="205">
          <cell r="A205">
            <v>343001</v>
          </cell>
          <cell r="B205" t="str">
            <v>Servicios de recaudación, traslado y custodia de valores</v>
          </cell>
          <cell r="C205" t="str">
            <v>S</v>
          </cell>
        </row>
        <row r="206">
          <cell r="A206">
            <v>344000</v>
          </cell>
          <cell r="B206" t="str">
            <v>Seguros de responsabilidad patrimonial y fianzas</v>
          </cell>
          <cell r="C206" t="str">
            <v>N</v>
          </cell>
        </row>
        <row r="207">
          <cell r="A207">
            <v>344001</v>
          </cell>
          <cell r="B207" t="str">
            <v>Seguros de responsabilidad patrimonial y fianzas</v>
          </cell>
          <cell r="C207" t="str">
            <v>S</v>
          </cell>
        </row>
        <row r="208">
          <cell r="A208">
            <v>345000</v>
          </cell>
          <cell r="B208" t="str">
            <v>Seguro de bienes patrimoniales</v>
          </cell>
          <cell r="C208" t="str">
            <v>N</v>
          </cell>
        </row>
        <row r="209">
          <cell r="A209">
            <v>345001</v>
          </cell>
          <cell r="B209" t="str">
            <v>Seguros</v>
          </cell>
          <cell r="C209" t="str">
            <v>S</v>
          </cell>
        </row>
        <row r="210">
          <cell r="A210">
            <v>346000</v>
          </cell>
          <cell r="B210" t="str">
            <v>Almacenaje, envase y embalaje</v>
          </cell>
          <cell r="C210" t="str">
            <v>N</v>
          </cell>
        </row>
        <row r="211">
          <cell r="A211">
            <v>346001</v>
          </cell>
          <cell r="B211" t="str">
            <v>Almacenaje, envase y embalaje</v>
          </cell>
          <cell r="C211" t="str">
            <v>S</v>
          </cell>
        </row>
        <row r="212">
          <cell r="A212">
            <v>347000</v>
          </cell>
          <cell r="B212" t="str">
            <v>Fletes y maniobras</v>
          </cell>
          <cell r="C212" t="str">
            <v>N</v>
          </cell>
        </row>
        <row r="213">
          <cell r="A213">
            <v>347001</v>
          </cell>
          <cell r="B213" t="str">
            <v>Fletes, maniobras y almacenaje</v>
          </cell>
          <cell r="C213" t="str">
            <v>S</v>
          </cell>
        </row>
        <row r="214">
          <cell r="A214">
            <v>348000</v>
          </cell>
          <cell r="B214" t="str">
            <v>Comisiones por ventas</v>
          </cell>
          <cell r="C214" t="str">
            <v>N</v>
          </cell>
        </row>
        <row r="215">
          <cell r="A215">
            <v>348001</v>
          </cell>
          <cell r="B215" t="str">
            <v>Comisiones por ventas</v>
          </cell>
          <cell r="C215" t="str">
            <v>S</v>
          </cell>
        </row>
        <row r="216">
          <cell r="A216">
            <v>349000</v>
          </cell>
          <cell r="B216" t="str">
            <v>Servicios financieros, bancarios y comerciales integrales</v>
          </cell>
          <cell r="C216" t="str">
            <v>N</v>
          </cell>
        </row>
        <row r="217">
          <cell r="A217">
            <v>349001</v>
          </cell>
          <cell r="B217" t="str">
            <v>Servicios financieros, bancarios y comerciales integrales</v>
          </cell>
          <cell r="C217" t="str">
            <v>S</v>
          </cell>
        </row>
        <row r="218">
          <cell r="A218">
            <v>350000</v>
          </cell>
          <cell r="B218" t="str">
            <v>SERVICIOS DE INSTALACIÓN, REPARACIÓN, MANTENIMIENTO Y CONSERVACIÓN</v>
          </cell>
          <cell r="C218" t="str">
            <v>N</v>
          </cell>
        </row>
        <row r="219">
          <cell r="A219">
            <v>351000</v>
          </cell>
          <cell r="B219" t="str">
            <v>Conservación y mantenimiento menor de inmuebles</v>
          </cell>
          <cell r="C219" t="str">
            <v>N</v>
          </cell>
        </row>
        <row r="220">
          <cell r="A220">
            <v>351001</v>
          </cell>
          <cell r="B220" t="str">
            <v>Mantenimiento de inmuebles</v>
          </cell>
          <cell r="C220" t="str">
            <v>S</v>
          </cell>
        </row>
        <row r="221">
          <cell r="A221">
            <v>351002</v>
          </cell>
          <cell r="B221" t="str">
            <v>Fumigación de Inmuebles</v>
          </cell>
          <cell r="C221" t="str">
            <v>S</v>
          </cell>
        </row>
        <row r="222">
          <cell r="A222">
            <v>351003</v>
          </cell>
          <cell r="B222" t="str">
            <v>Mantto. y Conserv. de Inmuebles Sub Proc. Zona Norte</v>
          </cell>
          <cell r="C222" t="str">
            <v>S</v>
          </cell>
        </row>
        <row r="223">
          <cell r="A223">
            <v>352000</v>
          </cell>
          <cell r="B223" t="str">
            <v>Instalación, reparación y mantenimiento de mobiliario y equipo de administración, educacional y recreativo</v>
          </cell>
          <cell r="C223" t="str">
            <v>N</v>
          </cell>
        </row>
        <row r="224">
          <cell r="A224">
            <v>352001</v>
          </cell>
          <cell r="B224" t="str">
            <v>Mantenimiento de mobiliario y equipo</v>
          </cell>
          <cell r="C224" t="str">
            <v>S</v>
          </cell>
        </row>
        <row r="225">
          <cell r="A225">
            <v>352002</v>
          </cell>
          <cell r="B225" t="str">
            <v>Gastos de instalación</v>
          </cell>
          <cell r="C225" t="str">
            <v>S</v>
          </cell>
        </row>
        <row r="226">
          <cell r="A226">
            <v>352003</v>
          </cell>
          <cell r="B226" t="str">
            <v>Mantto. y Conservación Archivo General de Notarias del Gob. del Edo.</v>
          </cell>
          <cell r="C226" t="str">
            <v>S</v>
          </cell>
        </row>
        <row r="227">
          <cell r="A227">
            <v>353000</v>
          </cell>
          <cell r="B227" t="str">
            <v>Instalación, reparación y mantenimiento de equipo de cómputo y tecnología de la información</v>
          </cell>
          <cell r="C227" t="str">
            <v>N</v>
          </cell>
        </row>
        <row r="228">
          <cell r="A228">
            <v>353001</v>
          </cell>
          <cell r="B228" t="str">
            <v>Instalación, reparación y mantenimiento de equipo de cómputo y tecnología  de la información</v>
          </cell>
          <cell r="C228" t="str">
            <v>S</v>
          </cell>
        </row>
        <row r="229">
          <cell r="A229">
            <v>354000</v>
          </cell>
          <cell r="B229" t="str">
            <v>Instalación, reparación y mantenimiento de equipo e instrumental médico y de laboratorio</v>
          </cell>
          <cell r="C229" t="str">
            <v>N</v>
          </cell>
        </row>
        <row r="230">
          <cell r="A230">
            <v>354001</v>
          </cell>
          <cell r="B230" t="str">
            <v>Instalación, reparación y mantenimiento de equipo e instrumental médico y de laboratorio</v>
          </cell>
          <cell r="C230" t="str">
            <v>S</v>
          </cell>
        </row>
        <row r="231">
          <cell r="A231">
            <v>355000</v>
          </cell>
          <cell r="B231" t="str">
            <v>Reparación y mantenimiento de equipo de transporte</v>
          </cell>
          <cell r="C231" t="str">
            <v>N</v>
          </cell>
        </row>
        <row r="232">
          <cell r="A232">
            <v>355001</v>
          </cell>
          <cell r="B232" t="str">
            <v>Mantto. y conservación de vehículos terrestres, aéreos, marítimos, lacustres y fluviales</v>
          </cell>
          <cell r="C232" t="str">
            <v>S</v>
          </cell>
        </row>
        <row r="233">
          <cell r="A233">
            <v>356000</v>
          </cell>
          <cell r="B233" t="str">
            <v>Reparación y mantenimiento de equipo de defensa y seguridad</v>
          </cell>
          <cell r="C233" t="str">
            <v>N</v>
          </cell>
        </row>
        <row r="234">
          <cell r="A234">
            <v>356001</v>
          </cell>
          <cell r="B234" t="str">
            <v>Reparación y mantenimiento de equipo de defensa y seguridad</v>
          </cell>
          <cell r="C234" t="str">
            <v>S</v>
          </cell>
        </row>
        <row r="235">
          <cell r="A235">
            <v>357000</v>
          </cell>
          <cell r="B235" t="str">
            <v>Instalación, reparación y mantenimiento de maquinaria, otros equipos y herramienta</v>
          </cell>
          <cell r="C235" t="str">
            <v>N</v>
          </cell>
        </row>
        <row r="236">
          <cell r="A236">
            <v>357001</v>
          </cell>
          <cell r="B236" t="str">
            <v>Instalación, reparación y mantenimiento de Equipo de Telecomunicaciones</v>
          </cell>
          <cell r="C236" t="str">
            <v>S</v>
          </cell>
        </row>
        <row r="237">
          <cell r="A237">
            <v>357002</v>
          </cell>
          <cell r="B237" t="str">
            <v>Instalación, reparación y mantenimiento de maquinaria, otros equipos y herramienta</v>
          </cell>
          <cell r="C237" t="str">
            <v>S</v>
          </cell>
        </row>
        <row r="238">
          <cell r="A238">
            <v>358000</v>
          </cell>
          <cell r="B238" t="str">
            <v>Servicios de limpieza y manejo de desechos</v>
          </cell>
          <cell r="C238" t="str">
            <v>N</v>
          </cell>
        </row>
        <row r="239">
          <cell r="A239">
            <v>358001</v>
          </cell>
          <cell r="B239" t="str">
            <v>Servicios de higiene y limpieza</v>
          </cell>
          <cell r="C239" t="str">
            <v>S</v>
          </cell>
        </row>
        <row r="240">
          <cell r="A240">
            <v>358002</v>
          </cell>
          <cell r="B240" t="str">
            <v>Servicios de Limpieza y Lavado de Vehículos</v>
          </cell>
          <cell r="C240" t="str">
            <v>S</v>
          </cell>
        </row>
        <row r="241">
          <cell r="A241">
            <v>358003</v>
          </cell>
          <cell r="B241" t="str">
            <v>Servicios de Lavandería</v>
          </cell>
          <cell r="C241" t="str">
            <v>S</v>
          </cell>
        </row>
        <row r="242">
          <cell r="A242">
            <v>359000</v>
          </cell>
          <cell r="B242" t="str">
            <v>Servicios de jardinería y fumigación</v>
          </cell>
          <cell r="C242" t="str">
            <v>N</v>
          </cell>
        </row>
        <row r="243">
          <cell r="A243">
            <v>359001</v>
          </cell>
          <cell r="B243" t="str">
            <v>Árboles, plantas, semillas y abonos</v>
          </cell>
          <cell r="C243" t="str">
            <v>S</v>
          </cell>
        </row>
        <row r="244">
          <cell r="A244">
            <v>359002</v>
          </cell>
          <cell r="B244" t="str">
            <v>Fumigación de áreas verdes</v>
          </cell>
          <cell r="C244" t="str">
            <v>S</v>
          </cell>
        </row>
        <row r="245">
          <cell r="A245">
            <v>360000</v>
          </cell>
          <cell r="B245" t="str">
            <v>SERVICIOS DE COMUNICACIÓN SOCIAL Y PUBLICIDAD</v>
          </cell>
          <cell r="C245" t="str">
            <v>N</v>
          </cell>
        </row>
        <row r="246">
          <cell r="A246">
            <v>361000</v>
          </cell>
          <cell r="B246" t="str">
            <v>Difusión por radio, televisión y otros medios de mensajes sobre programas y actividades gubernamentales</v>
          </cell>
          <cell r="C246" t="str">
            <v>N</v>
          </cell>
        </row>
        <row r="247">
          <cell r="A247">
            <v>361001</v>
          </cell>
          <cell r="B247" t="str">
            <v>Gastos de difusión</v>
          </cell>
          <cell r="C247" t="str">
            <v>S</v>
          </cell>
        </row>
        <row r="248">
          <cell r="A248">
            <v>361002</v>
          </cell>
          <cell r="B248" t="str">
            <v>Impresiones y publicaciones oficiales</v>
          </cell>
          <cell r="C248" t="str">
            <v>S</v>
          </cell>
        </row>
        <row r="249">
          <cell r="A249">
            <v>361003</v>
          </cell>
          <cell r="B249" t="str">
            <v>Rotulaciones oficiales</v>
          </cell>
          <cell r="C249" t="str">
            <v>S</v>
          </cell>
        </row>
        <row r="250">
          <cell r="A250">
            <v>361004</v>
          </cell>
          <cell r="B250" t="str">
            <v>Publicación de convocatorias</v>
          </cell>
          <cell r="C250" t="str">
            <v>S</v>
          </cell>
        </row>
        <row r="251">
          <cell r="A251">
            <v>362000</v>
          </cell>
          <cell r="B251" t="str">
            <v>Difusión por radio, televisión y otros medios de mensajes comerciales para promover la venta de bienes o servicios</v>
          </cell>
          <cell r="C251" t="str">
            <v>N</v>
          </cell>
        </row>
        <row r="252">
          <cell r="A252">
            <v>362001</v>
          </cell>
          <cell r="B252" t="str">
            <v>Difusión por radio, televisión y otros medios de mensajes comerciales para promover la venta de bienes o servicios</v>
          </cell>
          <cell r="C252" t="str">
            <v>S</v>
          </cell>
        </row>
        <row r="253">
          <cell r="A253">
            <v>362002</v>
          </cell>
          <cell r="B253" t="str">
            <v>Difusión por radio, televisión y otros medios de mensajes comerciales para promover la venta de bienes o servicios, fuera del país</v>
          </cell>
          <cell r="C253" t="str">
            <v>S</v>
          </cell>
        </row>
        <row r="254">
          <cell r="A254">
            <v>363000</v>
          </cell>
          <cell r="B254" t="str">
            <v>Servicios de creatividad, preproducción y producción de publicidad, excepto Internet</v>
          </cell>
          <cell r="C254" t="str">
            <v>N</v>
          </cell>
        </row>
        <row r="255">
          <cell r="A255">
            <v>363001</v>
          </cell>
          <cell r="B255" t="str">
            <v>Servicios de Producción y Diseño Publicitario</v>
          </cell>
          <cell r="C255" t="str">
            <v>S</v>
          </cell>
        </row>
        <row r="256">
          <cell r="A256">
            <v>364000</v>
          </cell>
          <cell r="B256" t="str">
            <v>Servicios de revelado de fotografías</v>
          </cell>
          <cell r="C256" t="str">
            <v>N</v>
          </cell>
        </row>
        <row r="257">
          <cell r="A257">
            <v>364001</v>
          </cell>
          <cell r="B257" t="str">
            <v>Revelado de Fotografías</v>
          </cell>
          <cell r="C257" t="str">
            <v>S</v>
          </cell>
        </row>
        <row r="258">
          <cell r="A258">
            <v>365000</v>
          </cell>
          <cell r="B258" t="str">
            <v>Servicios de la industria fílmica, del sonido y del video</v>
          </cell>
          <cell r="C258" t="str">
            <v>N</v>
          </cell>
        </row>
        <row r="259">
          <cell r="A259">
            <v>365001</v>
          </cell>
          <cell r="B259" t="str">
            <v>Servicios de la industria fílmica, del sonido y del video</v>
          </cell>
          <cell r="C259" t="str">
            <v>S</v>
          </cell>
        </row>
        <row r="260">
          <cell r="A260">
            <v>366000</v>
          </cell>
          <cell r="B260" t="str">
            <v>Servicio de creación y difusión de contenido exclusivamente a través de Internet</v>
          </cell>
          <cell r="C260" t="str">
            <v>N</v>
          </cell>
        </row>
        <row r="261">
          <cell r="A261">
            <v>366001</v>
          </cell>
          <cell r="B261" t="str">
            <v>Gastos de difusión a través de internet</v>
          </cell>
          <cell r="C261" t="str">
            <v>S</v>
          </cell>
        </row>
        <row r="262">
          <cell r="A262">
            <v>369000</v>
          </cell>
          <cell r="B262" t="str">
            <v>Otros servicios de información</v>
          </cell>
          <cell r="C262" t="str">
            <v>N</v>
          </cell>
        </row>
        <row r="263">
          <cell r="A263">
            <v>369001</v>
          </cell>
          <cell r="B263" t="str">
            <v>Monitoreo de Información y Encuestas</v>
          </cell>
          <cell r="C263" t="str">
            <v>S</v>
          </cell>
        </row>
        <row r="264">
          <cell r="A264">
            <v>370000</v>
          </cell>
          <cell r="B264" t="str">
            <v>SERVICIOS DE TRASLADO Y VIÁTICOS</v>
          </cell>
          <cell r="C264" t="str">
            <v>N</v>
          </cell>
        </row>
        <row r="265">
          <cell r="A265">
            <v>371000</v>
          </cell>
          <cell r="B265" t="str">
            <v>Pasajes aéreos</v>
          </cell>
          <cell r="C265" t="str">
            <v>N</v>
          </cell>
        </row>
        <row r="266">
          <cell r="A266">
            <v>371001</v>
          </cell>
          <cell r="B266" t="str">
            <v>Pasajes aéreos</v>
          </cell>
          <cell r="C266" t="str">
            <v>S</v>
          </cell>
        </row>
        <row r="267">
          <cell r="A267">
            <v>372000</v>
          </cell>
          <cell r="B267" t="str">
            <v>Pasajes terrestres</v>
          </cell>
          <cell r="C267" t="str">
            <v>N</v>
          </cell>
        </row>
        <row r="268">
          <cell r="A268">
            <v>372001</v>
          </cell>
          <cell r="B268" t="str">
            <v>Pasajes terrestres</v>
          </cell>
          <cell r="C268" t="str">
            <v>S</v>
          </cell>
        </row>
        <row r="269">
          <cell r="A269">
            <v>373000</v>
          </cell>
          <cell r="B269" t="str">
            <v>Pasajes marítimos, lacustres y fluviales</v>
          </cell>
          <cell r="C269" t="str">
            <v>N</v>
          </cell>
        </row>
        <row r="270">
          <cell r="A270">
            <v>373001</v>
          </cell>
          <cell r="B270" t="str">
            <v>Pasajes marítimos</v>
          </cell>
          <cell r="C270" t="str">
            <v>S</v>
          </cell>
        </row>
        <row r="271">
          <cell r="A271">
            <v>374000</v>
          </cell>
          <cell r="B271" t="str">
            <v>Autotransporte</v>
          </cell>
          <cell r="C271" t="str">
            <v>N</v>
          </cell>
        </row>
        <row r="272">
          <cell r="A272">
            <v>374001</v>
          </cell>
          <cell r="B272" t="str">
            <v>Autotransporte</v>
          </cell>
          <cell r="C272" t="str">
            <v>S</v>
          </cell>
        </row>
        <row r="273">
          <cell r="A273">
            <v>375000</v>
          </cell>
          <cell r="B273" t="str">
            <v>Viáticos en el país</v>
          </cell>
          <cell r="C273" t="str">
            <v>N</v>
          </cell>
        </row>
        <row r="274">
          <cell r="A274">
            <v>375001</v>
          </cell>
          <cell r="B274" t="str">
            <v>Viáticos</v>
          </cell>
          <cell r="C274" t="str">
            <v>S</v>
          </cell>
        </row>
        <row r="275">
          <cell r="A275">
            <v>376000</v>
          </cell>
          <cell r="B275" t="str">
            <v>Viáticos en el extranjero</v>
          </cell>
          <cell r="C275" t="str">
            <v>N</v>
          </cell>
        </row>
        <row r="276">
          <cell r="A276">
            <v>376001</v>
          </cell>
          <cell r="B276" t="str">
            <v>Viáticos en el extranjero</v>
          </cell>
          <cell r="C276" t="str">
            <v>S</v>
          </cell>
        </row>
        <row r="277">
          <cell r="A277">
            <v>377000</v>
          </cell>
          <cell r="B277" t="str">
            <v>Gastos de instalación y traslado de menaje</v>
          </cell>
          <cell r="C277" t="str">
            <v>N</v>
          </cell>
        </row>
        <row r="278">
          <cell r="A278">
            <v>377001</v>
          </cell>
          <cell r="B278" t="str">
            <v>Gastos de instalación y traslado de menaje</v>
          </cell>
          <cell r="C278" t="str">
            <v>S</v>
          </cell>
        </row>
        <row r="279">
          <cell r="A279">
            <v>378000</v>
          </cell>
          <cell r="B279" t="str">
            <v>Servicios integrales de traslado y viáticos</v>
          </cell>
          <cell r="C279" t="str">
            <v>N</v>
          </cell>
        </row>
        <row r="280">
          <cell r="A280">
            <v>378001</v>
          </cell>
          <cell r="B280" t="str">
            <v>Diligencias judiciales</v>
          </cell>
          <cell r="C280" t="str">
            <v>S</v>
          </cell>
        </row>
        <row r="281">
          <cell r="A281">
            <v>379000</v>
          </cell>
          <cell r="B281" t="str">
            <v>Otros servicios de traslado y hospedaje</v>
          </cell>
          <cell r="C281" t="str">
            <v>N</v>
          </cell>
        </row>
        <row r="282">
          <cell r="A282">
            <v>379001</v>
          </cell>
          <cell r="B282" t="str">
            <v>Traslado de vehículos</v>
          </cell>
          <cell r="C282" t="str">
            <v>S</v>
          </cell>
        </row>
        <row r="283">
          <cell r="A283">
            <v>379002</v>
          </cell>
          <cell r="B283" t="str">
            <v>Gastos de traslado de personas</v>
          </cell>
          <cell r="C283" t="str">
            <v>S</v>
          </cell>
        </row>
        <row r="284">
          <cell r="A284">
            <v>379003</v>
          </cell>
          <cell r="B284" t="str">
            <v>Hospedaje de personas</v>
          </cell>
          <cell r="C284" t="str">
            <v>S</v>
          </cell>
        </row>
        <row r="285">
          <cell r="A285">
            <v>380000</v>
          </cell>
          <cell r="B285" t="str">
            <v>SERVICIOS OFICIALES</v>
          </cell>
          <cell r="C285" t="str">
            <v>N</v>
          </cell>
        </row>
        <row r="286">
          <cell r="A286">
            <v>381000</v>
          </cell>
          <cell r="B286" t="str">
            <v>Gastos de ceremonial</v>
          </cell>
          <cell r="C286" t="str">
            <v>N</v>
          </cell>
        </row>
        <row r="287">
          <cell r="A287">
            <v>381001</v>
          </cell>
          <cell r="B287" t="str">
            <v>Atención a personalidades nacionales y extranjeras</v>
          </cell>
          <cell r="C287" t="str">
            <v>S</v>
          </cell>
        </row>
        <row r="288">
          <cell r="A288">
            <v>382000</v>
          </cell>
          <cell r="B288" t="str">
            <v>Gastos de orden social y cultural</v>
          </cell>
          <cell r="C288" t="str">
            <v>N</v>
          </cell>
        </row>
        <row r="289">
          <cell r="A289">
            <v>382001</v>
          </cell>
          <cell r="B289" t="str">
            <v>Espectáculos y actividades culturales</v>
          </cell>
          <cell r="C289" t="str">
            <v>S</v>
          </cell>
        </row>
        <row r="290">
          <cell r="A290">
            <v>382002</v>
          </cell>
          <cell r="B290" t="str">
            <v>Gastos de recepción, conmemorativos y de orden social</v>
          </cell>
          <cell r="C290" t="str">
            <v>S</v>
          </cell>
        </row>
        <row r="291">
          <cell r="A291">
            <v>382003</v>
          </cell>
          <cell r="B291" t="str">
            <v>Adaptaciones para eventos sociales y culturales</v>
          </cell>
          <cell r="C291" t="str">
            <v>S</v>
          </cell>
        </row>
        <row r="292">
          <cell r="A292">
            <v>382004</v>
          </cell>
          <cell r="B292" t="str">
            <v>Festividades y Eventos</v>
          </cell>
          <cell r="C292" t="str">
            <v>S</v>
          </cell>
        </row>
        <row r="293">
          <cell r="A293">
            <v>383000</v>
          </cell>
          <cell r="B293" t="str">
            <v>Congresos y convenciones</v>
          </cell>
          <cell r="C293" t="str">
            <v>N</v>
          </cell>
        </row>
        <row r="294">
          <cell r="A294">
            <v>383001</v>
          </cell>
          <cell r="B294" t="str">
            <v>Congresos y convenciones</v>
          </cell>
          <cell r="C294" t="str">
            <v>S</v>
          </cell>
        </row>
        <row r="295">
          <cell r="A295">
            <v>384000</v>
          </cell>
          <cell r="B295" t="str">
            <v>Exposiciones</v>
          </cell>
          <cell r="C295" t="str">
            <v>N</v>
          </cell>
        </row>
        <row r="296">
          <cell r="A296">
            <v>384001</v>
          </cell>
          <cell r="B296" t="str">
            <v>Exposiciones</v>
          </cell>
          <cell r="C296" t="str">
            <v>S</v>
          </cell>
        </row>
        <row r="297">
          <cell r="A297">
            <v>385000</v>
          </cell>
          <cell r="B297" t="str">
            <v>Gastos de representación</v>
          </cell>
          <cell r="C297" t="str">
            <v>N</v>
          </cell>
        </row>
        <row r="298">
          <cell r="A298">
            <v>385001</v>
          </cell>
          <cell r="B298" t="str">
            <v>Gastos de representación</v>
          </cell>
          <cell r="C298" t="str">
            <v>S</v>
          </cell>
        </row>
        <row r="299">
          <cell r="A299">
            <v>390000</v>
          </cell>
          <cell r="B299" t="str">
            <v>OTROS SERVICIOS GENERALES</v>
          </cell>
          <cell r="C299" t="str">
            <v>N</v>
          </cell>
        </row>
        <row r="300">
          <cell r="A300">
            <v>391000</v>
          </cell>
          <cell r="B300" t="str">
            <v>Servicios funerarios y de cementerios</v>
          </cell>
          <cell r="C300" t="str">
            <v>N</v>
          </cell>
        </row>
        <row r="301">
          <cell r="A301">
            <v>391001</v>
          </cell>
          <cell r="B301" t="str">
            <v>Servicios funerarios y de cementerios</v>
          </cell>
          <cell r="C301" t="str">
            <v>S</v>
          </cell>
        </row>
        <row r="302">
          <cell r="A302">
            <v>392000</v>
          </cell>
          <cell r="B302" t="str">
            <v>Impuestos y derechos</v>
          </cell>
          <cell r="C302" t="str">
            <v>N</v>
          </cell>
        </row>
        <row r="303">
          <cell r="A303">
            <v>392001</v>
          </cell>
          <cell r="B303" t="str">
            <v>Impuestos y derechos</v>
          </cell>
          <cell r="C303" t="str">
            <v>S</v>
          </cell>
        </row>
        <row r="304">
          <cell r="A304">
            <v>393000</v>
          </cell>
          <cell r="B304" t="str">
            <v>Impuestos y derechos de importación</v>
          </cell>
          <cell r="C304" t="str">
            <v>N</v>
          </cell>
        </row>
        <row r="305">
          <cell r="A305">
            <v>393001</v>
          </cell>
          <cell r="B305" t="str">
            <v>Impuestos y derechos de importación</v>
          </cell>
          <cell r="C305" t="str">
            <v>S</v>
          </cell>
        </row>
        <row r="306">
          <cell r="A306">
            <v>394000</v>
          </cell>
          <cell r="B306" t="str">
            <v>Sentencias y resoluciones judiciales</v>
          </cell>
          <cell r="C306" t="str">
            <v>N</v>
          </cell>
        </row>
        <row r="307">
          <cell r="A307">
            <v>394001</v>
          </cell>
          <cell r="B307" t="str">
            <v>Sentencias y resoluciones judiciales</v>
          </cell>
          <cell r="C307" t="str">
            <v>S</v>
          </cell>
        </row>
        <row r="308">
          <cell r="A308">
            <v>395000</v>
          </cell>
          <cell r="B308" t="str">
            <v>Penas, multas, accesorios y actualizaciones</v>
          </cell>
          <cell r="C308" t="str">
            <v>N</v>
          </cell>
        </row>
        <row r="309">
          <cell r="A309">
            <v>395001</v>
          </cell>
          <cell r="B309" t="str">
            <v>Penas, multas, accesorios y actualizaciones</v>
          </cell>
          <cell r="C309" t="str">
            <v>S</v>
          </cell>
        </row>
        <row r="310">
          <cell r="A310">
            <v>396000</v>
          </cell>
          <cell r="B310" t="str">
            <v>Otros gastos por responsabilidades</v>
          </cell>
          <cell r="C310" t="str">
            <v>N</v>
          </cell>
        </row>
        <row r="311">
          <cell r="A311">
            <v>396001</v>
          </cell>
          <cell r="B311" t="str">
            <v>Otros gastos por responsabilidades</v>
          </cell>
          <cell r="C311" t="str">
            <v>S</v>
          </cell>
        </row>
        <row r="312">
          <cell r="A312">
            <v>399000</v>
          </cell>
          <cell r="B312" t="str">
            <v>Otros servicios generales</v>
          </cell>
          <cell r="C312" t="str">
            <v>N</v>
          </cell>
        </row>
        <row r="313">
          <cell r="A313">
            <v>399001</v>
          </cell>
          <cell r="B313" t="str">
            <v>Gastos menores</v>
          </cell>
          <cell r="C313" t="str">
            <v>S</v>
          </cell>
        </row>
        <row r="314">
          <cell r="A314">
            <v>399002</v>
          </cell>
          <cell r="B314" t="str">
            <v>Retribuciones a reos</v>
          </cell>
          <cell r="C314" t="str">
            <v>S</v>
          </cell>
        </row>
        <row r="315">
          <cell r="A315">
            <v>399003</v>
          </cell>
          <cell r="B315" t="str">
            <v>Otros servicios de la administración pública</v>
          </cell>
          <cell r="C315" t="str">
            <v>S</v>
          </cell>
        </row>
        <row r="316">
          <cell r="A316">
            <v>399004</v>
          </cell>
          <cell r="B316" t="str">
            <v>Previsión Arrendamientos</v>
          </cell>
          <cell r="C316" t="str">
            <v>Prev</v>
          </cell>
        </row>
        <row r="317">
          <cell r="A317">
            <v>500000</v>
          </cell>
          <cell r="B317" t="str">
            <v>BIENES MUEBLES, INMUEBLES E INTANGIBLES</v>
          </cell>
          <cell r="C317" t="str">
            <v>N</v>
          </cell>
        </row>
        <row r="318">
          <cell r="A318">
            <v>510000</v>
          </cell>
          <cell r="B318" t="str">
            <v>MOBILIARIO Y EQUIPO DE ADMINISTRACIÓN</v>
          </cell>
          <cell r="C318" t="str">
            <v>N</v>
          </cell>
        </row>
        <row r="319">
          <cell r="A319">
            <v>511000</v>
          </cell>
          <cell r="B319" t="str">
            <v>Muebles de oficina y estantería</v>
          </cell>
          <cell r="C319" t="str">
            <v>N</v>
          </cell>
        </row>
        <row r="320">
          <cell r="A320">
            <v>511001</v>
          </cell>
          <cell r="B320" t="str">
            <v>Mobiliario</v>
          </cell>
          <cell r="C320" t="str">
            <v>S</v>
          </cell>
        </row>
        <row r="321">
          <cell r="A321">
            <v>512000</v>
          </cell>
          <cell r="B321" t="str">
            <v>Muebles, excepto de oficina y estantería</v>
          </cell>
          <cell r="C321" t="str">
            <v>N</v>
          </cell>
        </row>
        <row r="322">
          <cell r="A322">
            <v>512001</v>
          </cell>
          <cell r="B322" t="str">
            <v>Muebles, excepto de oficina y estantería</v>
          </cell>
          <cell r="C322" t="str">
            <v>S</v>
          </cell>
        </row>
        <row r="323">
          <cell r="A323">
            <v>513000</v>
          </cell>
          <cell r="B323" t="str">
            <v>Bienes artísticos, culturales y científicos</v>
          </cell>
          <cell r="C323" t="str">
            <v>N</v>
          </cell>
        </row>
        <row r="324">
          <cell r="A324">
            <v>513001</v>
          </cell>
          <cell r="B324" t="str">
            <v>Bienes artísticos y culturales</v>
          </cell>
          <cell r="C324" t="str">
            <v>S</v>
          </cell>
        </row>
        <row r="325">
          <cell r="A325">
            <v>514000</v>
          </cell>
          <cell r="B325" t="str">
            <v>Objetos de valor</v>
          </cell>
          <cell r="C325" t="str">
            <v>N</v>
          </cell>
        </row>
        <row r="326">
          <cell r="A326">
            <v>514001</v>
          </cell>
          <cell r="B326" t="str">
            <v>Objetos de valor</v>
          </cell>
          <cell r="C326" t="str">
            <v>S</v>
          </cell>
        </row>
        <row r="327">
          <cell r="A327">
            <v>515000</v>
          </cell>
          <cell r="B327" t="str">
            <v>Equipo de cómputo y de tecnologías de la información</v>
          </cell>
          <cell r="C327" t="str">
            <v>N</v>
          </cell>
        </row>
        <row r="328">
          <cell r="A328">
            <v>515001</v>
          </cell>
          <cell r="B328" t="str">
            <v>Equipo de administración</v>
          </cell>
          <cell r="C328" t="str">
            <v>S</v>
          </cell>
        </row>
        <row r="329">
          <cell r="A329">
            <v>515002</v>
          </cell>
          <cell r="B329" t="str">
            <v>Equipo de Cómputo y Aparatos de Uso Informático</v>
          </cell>
          <cell r="C329" t="str">
            <v>S</v>
          </cell>
        </row>
        <row r="330">
          <cell r="A330">
            <v>515003</v>
          </cell>
          <cell r="B330" t="str">
            <v>Sistemas de Rastreo Satelital (GPS)</v>
          </cell>
          <cell r="C330" t="str">
            <v>S</v>
          </cell>
        </row>
        <row r="331">
          <cell r="A331">
            <v>519000</v>
          </cell>
          <cell r="B331" t="str">
            <v>Otros mobiliarios y equipos de administración</v>
          </cell>
          <cell r="C331" t="str">
            <v>N</v>
          </cell>
        </row>
        <row r="332">
          <cell r="A332">
            <v>519001</v>
          </cell>
          <cell r="B332" t="str">
            <v>Cámaras y Circuitos Cerrados de Seguridad</v>
          </cell>
          <cell r="C332" t="str">
            <v>S</v>
          </cell>
        </row>
        <row r="333">
          <cell r="A333">
            <v>519002</v>
          </cell>
          <cell r="B333" t="str">
            <v>Equipos de Audio</v>
          </cell>
          <cell r="C333" t="str">
            <v>S</v>
          </cell>
        </row>
        <row r="334">
          <cell r="A334">
            <v>519003</v>
          </cell>
          <cell r="B334" t="str">
            <v>Otras Herramientas, Mobiliarios y Eq. De Administración</v>
          </cell>
          <cell r="C334" t="str">
            <v>S</v>
          </cell>
        </row>
        <row r="335">
          <cell r="A335">
            <v>519004</v>
          </cell>
          <cell r="B335" t="str">
            <v>Aulas Móviles de Vigilancia</v>
          </cell>
          <cell r="C335" t="str">
            <v>S</v>
          </cell>
        </row>
        <row r="336">
          <cell r="A336">
            <v>520000</v>
          </cell>
          <cell r="B336" t="str">
            <v>MOBILIARIO Y EQUIPO EDUCACIONAL Y RECREATIVO</v>
          </cell>
          <cell r="C336" t="str">
            <v>N</v>
          </cell>
        </row>
        <row r="337">
          <cell r="A337">
            <v>521000</v>
          </cell>
          <cell r="B337" t="str">
            <v>Equipos y aparatos audiovisuales</v>
          </cell>
          <cell r="C337" t="str">
            <v>N</v>
          </cell>
        </row>
        <row r="338">
          <cell r="A338">
            <v>521001</v>
          </cell>
          <cell r="B338" t="str">
            <v>Equipo educacional y recreativo</v>
          </cell>
          <cell r="C338" t="str">
            <v>S</v>
          </cell>
        </row>
        <row r="339">
          <cell r="A339">
            <v>522000</v>
          </cell>
          <cell r="B339" t="str">
            <v>Aparatos deportivos</v>
          </cell>
          <cell r="C339" t="str">
            <v>N</v>
          </cell>
        </row>
        <row r="340">
          <cell r="A340">
            <v>522001</v>
          </cell>
          <cell r="B340" t="str">
            <v>Aparatos deportivos</v>
          </cell>
          <cell r="C340" t="str">
            <v>S</v>
          </cell>
        </row>
        <row r="341">
          <cell r="A341">
            <v>523000</v>
          </cell>
          <cell r="B341" t="str">
            <v>Cámaras fotográficas y de video</v>
          </cell>
          <cell r="C341" t="str">
            <v>N</v>
          </cell>
        </row>
        <row r="342">
          <cell r="A342">
            <v>523001</v>
          </cell>
          <cell r="B342" t="str">
            <v>Cámaras Fotográficas</v>
          </cell>
          <cell r="C342" t="str">
            <v>S</v>
          </cell>
        </row>
        <row r="343">
          <cell r="A343">
            <v>523002</v>
          </cell>
          <cell r="B343" t="str">
            <v>Cámaras de Video</v>
          </cell>
          <cell r="C343" t="str">
            <v>S</v>
          </cell>
        </row>
        <row r="344">
          <cell r="A344">
            <v>529000</v>
          </cell>
          <cell r="B344" t="str">
            <v>Otro mobiliario y equipo educacional y recreativo</v>
          </cell>
          <cell r="C344" t="str">
            <v>N</v>
          </cell>
        </row>
        <row r="345">
          <cell r="A345">
            <v>529001</v>
          </cell>
          <cell r="B345" t="str">
            <v>Instrumentos Musicales</v>
          </cell>
          <cell r="C345" t="str">
            <v>S</v>
          </cell>
        </row>
        <row r="346">
          <cell r="A346">
            <v>529002</v>
          </cell>
          <cell r="B346" t="str">
            <v>Equipo Educacional</v>
          </cell>
          <cell r="C346" t="str">
            <v>S</v>
          </cell>
        </row>
        <row r="347">
          <cell r="A347">
            <v>530000</v>
          </cell>
          <cell r="B347" t="str">
            <v>EQUIPO E INSTRUMENTAL MÉDICO Y DE LABORATORIO</v>
          </cell>
          <cell r="C347" t="str">
            <v>N</v>
          </cell>
        </row>
        <row r="348">
          <cell r="A348">
            <v>531000</v>
          </cell>
          <cell r="B348" t="str">
            <v>Equipo médico y de laboratorio</v>
          </cell>
          <cell r="C348" t="str">
            <v>N</v>
          </cell>
        </row>
        <row r="349">
          <cell r="A349">
            <v>531001</v>
          </cell>
          <cell r="B349" t="str">
            <v>Equipo e instrumental medico</v>
          </cell>
          <cell r="C349" t="str">
            <v>S</v>
          </cell>
        </row>
        <row r="350">
          <cell r="A350">
            <v>532000</v>
          </cell>
          <cell r="B350" t="str">
            <v>Instrumental médico y de laboratorio</v>
          </cell>
          <cell r="C350" t="str">
            <v>N</v>
          </cell>
        </row>
        <row r="351">
          <cell r="A351">
            <v>532001</v>
          </cell>
          <cell r="B351" t="str">
            <v>Instrumental médico y de laboratorio</v>
          </cell>
          <cell r="C351" t="str">
            <v>S</v>
          </cell>
        </row>
        <row r="352">
          <cell r="A352">
            <v>540000</v>
          </cell>
          <cell r="B352" t="str">
            <v>VEHÍCULOS Y EQUIPO DE TRANSPORTE</v>
          </cell>
          <cell r="C352" t="str">
            <v>N</v>
          </cell>
        </row>
        <row r="353">
          <cell r="A353">
            <v>541000</v>
          </cell>
          <cell r="B353" t="str">
            <v>Automóviles y camiones</v>
          </cell>
          <cell r="C353" t="str">
            <v>N</v>
          </cell>
        </row>
        <row r="354">
          <cell r="A354">
            <v>541001</v>
          </cell>
          <cell r="B354" t="str">
            <v>Vehículos y equipo terrestre</v>
          </cell>
          <cell r="C354" t="str">
            <v>S</v>
          </cell>
        </row>
        <row r="355">
          <cell r="A355">
            <v>542000</v>
          </cell>
          <cell r="B355" t="str">
            <v>Carrocerías y remolques</v>
          </cell>
          <cell r="C355" t="str">
            <v>N</v>
          </cell>
        </row>
        <row r="356">
          <cell r="A356">
            <v>542001</v>
          </cell>
          <cell r="B356" t="str">
            <v>Carrocerías y remolques</v>
          </cell>
          <cell r="C356" t="str">
            <v>S</v>
          </cell>
        </row>
        <row r="357">
          <cell r="A357">
            <v>543000</v>
          </cell>
          <cell r="B357" t="str">
            <v>Equipo aeroespacial</v>
          </cell>
          <cell r="C357" t="str">
            <v>N</v>
          </cell>
        </row>
        <row r="358">
          <cell r="A358">
            <v>543001</v>
          </cell>
          <cell r="B358" t="str">
            <v>Vehículos y equipo de transporte aéreo</v>
          </cell>
          <cell r="C358" t="str">
            <v>S</v>
          </cell>
        </row>
        <row r="359">
          <cell r="A359">
            <v>544000</v>
          </cell>
          <cell r="B359" t="str">
            <v>Equipo ferroviario</v>
          </cell>
          <cell r="C359" t="str">
            <v>N</v>
          </cell>
        </row>
        <row r="360">
          <cell r="A360">
            <v>544001</v>
          </cell>
          <cell r="B360" t="str">
            <v>Equipo ferroviario</v>
          </cell>
          <cell r="C360" t="str">
            <v>S</v>
          </cell>
        </row>
        <row r="361">
          <cell r="A361">
            <v>545000</v>
          </cell>
          <cell r="B361" t="str">
            <v>Embarcaciones</v>
          </cell>
          <cell r="C361" t="str">
            <v>N</v>
          </cell>
        </row>
        <row r="362">
          <cell r="A362">
            <v>545001</v>
          </cell>
          <cell r="B362" t="str">
            <v>Vehículos y equipo marino</v>
          </cell>
          <cell r="C362" t="str">
            <v>S</v>
          </cell>
        </row>
        <row r="363">
          <cell r="A363">
            <v>549000</v>
          </cell>
          <cell r="B363" t="str">
            <v>Otros Equipos de Transporte</v>
          </cell>
          <cell r="C363" t="str">
            <v>N</v>
          </cell>
        </row>
        <row r="364">
          <cell r="A364">
            <v>549001</v>
          </cell>
          <cell r="B364" t="str">
            <v>Otros equipos de transporte</v>
          </cell>
          <cell r="C364" t="str">
            <v>S</v>
          </cell>
        </row>
        <row r="365">
          <cell r="A365">
            <v>550000</v>
          </cell>
          <cell r="B365" t="str">
            <v>EQUIPO DE DEFENSA Y SEGURIDAD</v>
          </cell>
          <cell r="C365" t="str">
            <v>N</v>
          </cell>
        </row>
        <row r="366">
          <cell r="A366">
            <v>551000</v>
          </cell>
          <cell r="B366" t="str">
            <v>Equipo de defensa y seguridad</v>
          </cell>
          <cell r="C366" t="str">
            <v>N</v>
          </cell>
        </row>
        <row r="367">
          <cell r="A367">
            <v>551001</v>
          </cell>
          <cell r="B367" t="str">
            <v>Equipo de defensa y seguridad pública</v>
          </cell>
          <cell r="C367" t="str">
            <v>S</v>
          </cell>
        </row>
        <row r="368">
          <cell r="A368">
            <v>560000</v>
          </cell>
          <cell r="B368" t="str">
            <v>MAQUINARIA, OTROS EQUIPOS Y HERRAMIENTAS</v>
          </cell>
          <cell r="C368" t="str">
            <v>N</v>
          </cell>
        </row>
        <row r="369">
          <cell r="A369">
            <v>561000</v>
          </cell>
          <cell r="B369" t="str">
            <v>Maquinaria y equipo agropecuario</v>
          </cell>
          <cell r="C369" t="str">
            <v>N</v>
          </cell>
        </row>
        <row r="370">
          <cell r="A370">
            <v>561001</v>
          </cell>
          <cell r="B370" t="str">
            <v>Maquinaria y equipo agropecuario, industrial y de construcción</v>
          </cell>
          <cell r="C370" t="str">
            <v>S</v>
          </cell>
        </row>
        <row r="371">
          <cell r="A371">
            <v>562000</v>
          </cell>
          <cell r="B371" t="str">
            <v>Maquinaria y equipo industrial</v>
          </cell>
          <cell r="C371" t="str">
            <v>N</v>
          </cell>
        </row>
        <row r="372">
          <cell r="A372">
            <v>562001</v>
          </cell>
          <cell r="B372" t="str">
            <v>Bombas Industriales</v>
          </cell>
          <cell r="C372" t="str">
            <v>S</v>
          </cell>
        </row>
        <row r="373">
          <cell r="A373">
            <v>563000</v>
          </cell>
          <cell r="B373" t="str">
            <v>Maquinaria y equipo de construcción</v>
          </cell>
          <cell r="C373" t="str">
            <v>N</v>
          </cell>
        </row>
        <row r="374">
          <cell r="A374">
            <v>563001</v>
          </cell>
          <cell r="B374" t="str">
            <v>Maquinaria y equipo de construcción</v>
          </cell>
          <cell r="C374" t="str">
            <v>S</v>
          </cell>
        </row>
        <row r="375">
          <cell r="A375">
            <v>564000</v>
          </cell>
          <cell r="B375" t="str">
            <v>Sistemas de aire acondicionado, calefacción y de refrigeración industrial y comercial</v>
          </cell>
          <cell r="C375" t="str">
            <v>N</v>
          </cell>
        </row>
        <row r="376">
          <cell r="A376">
            <v>564001</v>
          </cell>
          <cell r="B376" t="str">
            <v>Sistemas de aire acondicionado, calefacción y de refrigeración industrial y comercial</v>
          </cell>
          <cell r="C376" t="str">
            <v>S</v>
          </cell>
        </row>
        <row r="377">
          <cell r="A377">
            <v>565000</v>
          </cell>
          <cell r="B377" t="str">
            <v>Equipo de comunicación y telecomunicación</v>
          </cell>
          <cell r="C377" t="str">
            <v>N</v>
          </cell>
        </row>
        <row r="378">
          <cell r="A378">
            <v>565001</v>
          </cell>
          <cell r="B378" t="str">
            <v>Maq. y equipo de telecomunicaciones, eléctrica y electrónica</v>
          </cell>
          <cell r="C378" t="str">
            <v>S</v>
          </cell>
        </row>
        <row r="379">
          <cell r="A379">
            <v>566000</v>
          </cell>
          <cell r="B379" t="str">
            <v>Equipos de generación eléctrica, aparatos y accesorios eléctricos</v>
          </cell>
          <cell r="C379" t="str">
            <v>N</v>
          </cell>
        </row>
        <row r="380">
          <cell r="A380">
            <v>566001</v>
          </cell>
          <cell r="B380" t="str">
            <v>Equipos de generación eléctrica</v>
          </cell>
          <cell r="C380" t="str">
            <v>S</v>
          </cell>
        </row>
        <row r="381">
          <cell r="A381">
            <v>566002</v>
          </cell>
          <cell r="B381" t="str">
            <v>Aparatos y Accesorios eléctricos</v>
          </cell>
          <cell r="C381" t="str">
            <v>S</v>
          </cell>
        </row>
        <row r="382">
          <cell r="A382">
            <v>567000</v>
          </cell>
          <cell r="B382" t="str">
            <v>Herramientas y máquinas-herramienta</v>
          </cell>
          <cell r="C382" t="str">
            <v>N</v>
          </cell>
        </row>
        <row r="383">
          <cell r="A383">
            <v>567001</v>
          </cell>
          <cell r="B383" t="str">
            <v>Herramientas y refacciones mayores</v>
          </cell>
          <cell r="C383" t="str">
            <v>S</v>
          </cell>
        </row>
        <row r="384">
          <cell r="A384">
            <v>569000</v>
          </cell>
          <cell r="B384" t="str">
            <v>Otros equipos</v>
          </cell>
          <cell r="C384" t="str">
            <v>N</v>
          </cell>
        </row>
        <row r="385">
          <cell r="A385">
            <v>569001</v>
          </cell>
          <cell r="B385" t="str">
            <v>Maquinaria y equipo diverso</v>
          </cell>
          <cell r="C385" t="str">
            <v>S</v>
          </cell>
        </row>
        <row r="386">
          <cell r="A386">
            <v>570000</v>
          </cell>
          <cell r="B386" t="str">
            <v>ACTIVOS BIOLÓGICOS</v>
          </cell>
          <cell r="C386" t="str">
            <v>N</v>
          </cell>
        </row>
        <row r="387">
          <cell r="A387">
            <v>571000</v>
          </cell>
          <cell r="B387" t="str">
            <v>Bovinos</v>
          </cell>
          <cell r="C387" t="str">
            <v>N</v>
          </cell>
        </row>
        <row r="388">
          <cell r="A388">
            <v>571001</v>
          </cell>
          <cell r="B388" t="str">
            <v>Bovinos</v>
          </cell>
          <cell r="C388" t="str">
            <v>S</v>
          </cell>
        </row>
        <row r="389">
          <cell r="A389">
            <v>572000</v>
          </cell>
          <cell r="B389" t="str">
            <v>Porcinos</v>
          </cell>
          <cell r="C389" t="str">
            <v>N</v>
          </cell>
        </row>
        <row r="390">
          <cell r="A390">
            <v>572001</v>
          </cell>
          <cell r="B390" t="str">
            <v>Porcinos</v>
          </cell>
          <cell r="C390" t="str">
            <v>S</v>
          </cell>
        </row>
        <row r="391">
          <cell r="A391">
            <v>573000</v>
          </cell>
          <cell r="B391" t="str">
            <v>Aves</v>
          </cell>
          <cell r="C391" t="str">
            <v>N</v>
          </cell>
        </row>
        <row r="392">
          <cell r="A392">
            <v>573001</v>
          </cell>
          <cell r="B392" t="str">
            <v>Aves</v>
          </cell>
          <cell r="C392" t="str">
            <v>S</v>
          </cell>
        </row>
        <row r="393">
          <cell r="A393">
            <v>574000</v>
          </cell>
          <cell r="B393" t="str">
            <v>Ovinos y caprinos</v>
          </cell>
          <cell r="C393" t="str">
            <v>N</v>
          </cell>
        </row>
        <row r="394">
          <cell r="A394">
            <v>574001</v>
          </cell>
          <cell r="B394" t="str">
            <v>Ovinos y caprinos</v>
          </cell>
          <cell r="C394" t="str">
            <v>S</v>
          </cell>
        </row>
        <row r="395">
          <cell r="A395">
            <v>575000</v>
          </cell>
          <cell r="B395" t="str">
            <v>Peces y acuicultura</v>
          </cell>
          <cell r="C395" t="str">
            <v>N</v>
          </cell>
        </row>
        <row r="396">
          <cell r="A396">
            <v>575001</v>
          </cell>
          <cell r="B396" t="str">
            <v>Peces y acuicultura</v>
          </cell>
          <cell r="C396" t="str">
            <v>S</v>
          </cell>
        </row>
        <row r="397">
          <cell r="A397">
            <v>576000</v>
          </cell>
          <cell r="B397" t="str">
            <v>Equinos</v>
          </cell>
          <cell r="C397" t="str">
            <v>N</v>
          </cell>
        </row>
        <row r="398">
          <cell r="A398">
            <v>576001</v>
          </cell>
          <cell r="B398" t="str">
            <v>Equinos</v>
          </cell>
          <cell r="C398" t="str">
            <v>S</v>
          </cell>
        </row>
        <row r="399">
          <cell r="A399">
            <v>577000</v>
          </cell>
          <cell r="B399" t="str">
            <v>Especies menores y de zoológico</v>
          </cell>
          <cell r="C399" t="str">
            <v>N</v>
          </cell>
        </row>
        <row r="400">
          <cell r="A400">
            <v>577001</v>
          </cell>
          <cell r="B400" t="str">
            <v>Especies menores y de zoológico</v>
          </cell>
          <cell r="C400" t="str">
            <v>S</v>
          </cell>
        </row>
        <row r="401">
          <cell r="A401">
            <v>578000</v>
          </cell>
          <cell r="B401" t="str">
            <v>Árboles y plantas</v>
          </cell>
          <cell r="C401" t="str">
            <v>N</v>
          </cell>
        </row>
        <row r="402">
          <cell r="A402">
            <v>578001</v>
          </cell>
          <cell r="B402" t="str">
            <v>Árboles y plantas</v>
          </cell>
          <cell r="C402" t="str">
            <v>S</v>
          </cell>
        </row>
        <row r="403">
          <cell r="A403">
            <v>579000</v>
          </cell>
          <cell r="B403" t="str">
            <v>Otros activos biológicos</v>
          </cell>
          <cell r="C403" t="str">
            <v>N</v>
          </cell>
        </row>
        <row r="404">
          <cell r="A404">
            <v>579001</v>
          </cell>
          <cell r="B404" t="str">
            <v>Otros activos biológicos</v>
          </cell>
          <cell r="C404" t="str">
            <v>S</v>
          </cell>
        </row>
        <row r="405">
          <cell r="A405">
            <v>580000</v>
          </cell>
          <cell r="B405" t="str">
            <v>BIENES INMUEBLES</v>
          </cell>
          <cell r="C405" t="str">
            <v>N</v>
          </cell>
        </row>
        <row r="406">
          <cell r="A406">
            <v>581000</v>
          </cell>
          <cell r="B406" t="str">
            <v>Terrenos</v>
          </cell>
          <cell r="C406" t="str">
            <v>N</v>
          </cell>
        </row>
        <row r="407">
          <cell r="A407">
            <v>581001</v>
          </cell>
          <cell r="B407" t="str">
            <v>Terrenos</v>
          </cell>
          <cell r="C407" t="str">
            <v>S</v>
          </cell>
        </row>
        <row r="408">
          <cell r="A408">
            <v>582000</v>
          </cell>
          <cell r="B408" t="str">
            <v>Viviendas</v>
          </cell>
          <cell r="C408" t="str">
            <v>N</v>
          </cell>
        </row>
        <row r="409">
          <cell r="A409">
            <v>582001</v>
          </cell>
          <cell r="B409" t="str">
            <v>Viviendas</v>
          </cell>
          <cell r="C409" t="str">
            <v>S</v>
          </cell>
        </row>
        <row r="410">
          <cell r="A410">
            <v>583000</v>
          </cell>
          <cell r="B410" t="str">
            <v>Edificios no residenciales</v>
          </cell>
          <cell r="C410" t="str">
            <v>N</v>
          </cell>
        </row>
        <row r="411">
          <cell r="A411">
            <v>583001</v>
          </cell>
          <cell r="B411" t="str">
            <v>Edificios y locales</v>
          </cell>
          <cell r="C411" t="str">
            <v>S</v>
          </cell>
        </row>
        <row r="412">
          <cell r="A412">
            <v>589000</v>
          </cell>
          <cell r="B412" t="str">
            <v>Otros bienes inmuebles</v>
          </cell>
          <cell r="C412" t="str">
            <v>N</v>
          </cell>
        </row>
        <row r="413">
          <cell r="A413">
            <v>589001</v>
          </cell>
          <cell r="B413" t="str">
            <v>Adjudicaciones, expropiaciones e indemnizaciones de inmuebles</v>
          </cell>
          <cell r="C413" t="str">
            <v>S</v>
          </cell>
        </row>
        <row r="414">
          <cell r="A414">
            <v>590000</v>
          </cell>
          <cell r="B414" t="str">
            <v>ACTIVOS INTANGIBLES</v>
          </cell>
          <cell r="C414" t="str">
            <v>N</v>
          </cell>
        </row>
        <row r="415">
          <cell r="A415">
            <v>591000</v>
          </cell>
          <cell r="B415" t="str">
            <v>Software</v>
          </cell>
          <cell r="C415" t="str">
            <v>N</v>
          </cell>
        </row>
        <row r="416">
          <cell r="A416">
            <v>591001</v>
          </cell>
          <cell r="B416" t="str">
            <v>Software</v>
          </cell>
          <cell r="C416" t="str">
            <v>S</v>
          </cell>
        </row>
        <row r="417">
          <cell r="A417">
            <v>592000</v>
          </cell>
          <cell r="B417" t="str">
            <v>Patentes</v>
          </cell>
          <cell r="C417" t="str">
            <v>N</v>
          </cell>
        </row>
        <row r="418">
          <cell r="A418">
            <v>592001</v>
          </cell>
          <cell r="B418" t="str">
            <v>Patentes</v>
          </cell>
          <cell r="C418" t="str">
            <v>S</v>
          </cell>
        </row>
        <row r="419">
          <cell r="A419">
            <v>593000</v>
          </cell>
          <cell r="B419" t="str">
            <v>Marcas</v>
          </cell>
          <cell r="C419" t="str">
            <v>N</v>
          </cell>
        </row>
        <row r="420">
          <cell r="A420">
            <v>593001</v>
          </cell>
          <cell r="B420" t="str">
            <v>Marcas</v>
          </cell>
          <cell r="C420" t="str">
            <v>S</v>
          </cell>
        </row>
        <row r="421">
          <cell r="A421">
            <v>594000</v>
          </cell>
          <cell r="B421" t="str">
            <v>Derechos</v>
          </cell>
          <cell r="C421" t="str">
            <v>N</v>
          </cell>
        </row>
        <row r="422">
          <cell r="A422">
            <v>594001</v>
          </cell>
          <cell r="B422" t="str">
            <v>Derechos</v>
          </cell>
          <cell r="C422" t="str">
            <v>S</v>
          </cell>
        </row>
        <row r="423">
          <cell r="A423">
            <v>595000</v>
          </cell>
          <cell r="B423" t="str">
            <v>Concesiones</v>
          </cell>
          <cell r="C423" t="str">
            <v>N</v>
          </cell>
        </row>
        <row r="424">
          <cell r="A424">
            <v>595001</v>
          </cell>
          <cell r="B424" t="str">
            <v>Concesiones</v>
          </cell>
          <cell r="C424" t="str">
            <v>S</v>
          </cell>
        </row>
        <row r="425">
          <cell r="A425">
            <v>596000</v>
          </cell>
          <cell r="B425" t="str">
            <v>Franquicias</v>
          </cell>
          <cell r="C425" t="str">
            <v>N</v>
          </cell>
        </row>
        <row r="426">
          <cell r="A426">
            <v>596001</v>
          </cell>
          <cell r="B426" t="str">
            <v>Franquicias</v>
          </cell>
          <cell r="C426" t="str">
            <v>S</v>
          </cell>
        </row>
        <row r="427">
          <cell r="A427">
            <v>597000</v>
          </cell>
          <cell r="B427" t="str">
            <v>Licencias informáticas e intelectuales</v>
          </cell>
          <cell r="C427" t="str">
            <v>N</v>
          </cell>
        </row>
        <row r="428">
          <cell r="A428">
            <v>597001</v>
          </cell>
          <cell r="B428" t="str">
            <v>Licencias para programas de antivirus</v>
          </cell>
          <cell r="C428" t="str">
            <v>S</v>
          </cell>
        </row>
        <row r="429">
          <cell r="A429">
            <v>597002</v>
          </cell>
          <cell r="B429" t="str">
            <v>Licencias Microsoft Windows server 2003 edición estándar</v>
          </cell>
          <cell r="C429" t="str">
            <v>S</v>
          </cell>
        </row>
        <row r="430">
          <cell r="A430">
            <v>598000</v>
          </cell>
          <cell r="B430" t="str">
            <v>Licencias industriales, comerciales y otras</v>
          </cell>
          <cell r="C430" t="str">
            <v>N</v>
          </cell>
        </row>
        <row r="431">
          <cell r="A431">
            <v>598001</v>
          </cell>
          <cell r="B431" t="str">
            <v>Licencias industriales, comerciales y otras</v>
          </cell>
          <cell r="C431" t="str">
            <v>S</v>
          </cell>
        </row>
        <row r="432">
          <cell r="A432">
            <v>599000</v>
          </cell>
          <cell r="B432" t="str">
            <v>Otros activos intangibles</v>
          </cell>
          <cell r="C432" t="str">
            <v>N</v>
          </cell>
        </row>
        <row r="433">
          <cell r="A433">
            <v>599001</v>
          </cell>
          <cell r="B433" t="str">
            <v>Otros activos intangibles</v>
          </cell>
          <cell r="C433" t="str">
            <v>S</v>
          </cell>
        </row>
      </sheetData>
      <sheetData sheetId="4">
        <row r="1">
          <cell r="A1" t="str">
            <v>NOMENCLATURA</v>
          </cell>
          <cell r="B1" t="str">
            <v>DESCRPCION</v>
          </cell>
          <cell r="C1"/>
          <cell r="D1"/>
        </row>
        <row r="2">
          <cell r="A2">
            <v>100</v>
          </cell>
          <cell r="B2" t="str">
            <v>INGRESOS PROPIOS Y APROVECHAMIENTOS</v>
          </cell>
          <cell r="C2"/>
          <cell r="D2"/>
        </row>
        <row r="3">
          <cell r="A3">
            <v>101</v>
          </cell>
          <cell r="B3" t="str">
            <v>INGRESOS PROPIOS (IMPUESTOS, DERECHOS, PRODUCTOS Y APROVECHAMIENTOS)</v>
          </cell>
          <cell r="C3"/>
          <cell r="D3"/>
        </row>
        <row r="4">
          <cell r="A4">
            <v>102</v>
          </cell>
          <cell r="B4" t="str">
            <v>INGRESOS PROPIOS</v>
          </cell>
          <cell r="C4"/>
          <cell r="D4"/>
        </row>
        <row r="5">
          <cell r="A5">
            <v>103</v>
          </cell>
          <cell r="B5" t="str">
            <v>INGRESOS PROPIOS APORTACIONES MUNICIPALES</v>
          </cell>
          <cell r="C5"/>
          <cell r="D5"/>
        </row>
        <row r="6">
          <cell r="A6">
            <v>104</v>
          </cell>
          <cell r="B6" t="str">
            <v>APROVECHAMIENTO POR EL USO DE LA I NFRAESTRUCTURA ESTATAL</v>
          </cell>
          <cell r="C6"/>
          <cell r="D6"/>
        </row>
        <row r="7">
          <cell r="A7">
            <v>110</v>
          </cell>
          <cell r="B7" t="str">
            <v>RECURSO F.O.I.S.</v>
          </cell>
          <cell r="C7"/>
          <cell r="D7"/>
        </row>
        <row r="8">
          <cell r="A8">
            <v>111</v>
          </cell>
          <cell r="B8" t="str">
            <v>RECURSO A.P.I.</v>
          </cell>
          <cell r="C8"/>
          <cell r="D8"/>
        </row>
        <row r="9">
          <cell r="A9">
            <v>130</v>
          </cell>
          <cell r="B9" t="str">
            <v>Reintegro con Ingresos Propios Ramo 28</v>
          </cell>
          <cell r="C9"/>
          <cell r="D9"/>
        </row>
        <row r="10">
          <cell r="A10">
            <v>136</v>
          </cell>
          <cell r="B10" t="str">
            <v>Reintegro con Ingresos Propios FONE</v>
          </cell>
          <cell r="C10"/>
          <cell r="D10"/>
        </row>
        <row r="11">
          <cell r="A11">
            <v>137</v>
          </cell>
          <cell r="B11" t="str">
            <v>Reintegro con Ingresos Propios FASSA</v>
          </cell>
          <cell r="C11"/>
          <cell r="D11"/>
        </row>
        <row r="12">
          <cell r="A12">
            <v>138</v>
          </cell>
          <cell r="B12" t="str">
            <v>Reintegro con Ingresos Propios FAIS/FISE</v>
          </cell>
          <cell r="C12"/>
          <cell r="D12"/>
        </row>
        <row r="13">
          <cell r="A13">
            <v>139</v>
          </cell>
          <cell r="B13" t="str">
            <v>Reintegro con Ingresos Propios FAIS/FISM</v>
          </cell>
          <cell r="C13"/>
          <cell r="D13"/>
        </row>
        <row r="14">
          <cell r="A14">
            <v>140</v>
          </cell>
          <cell r="B14" t="str">
            <v>Reintegro con Ingresos Propios FORTAMUN</v>
          </cell>
          <cell r="C14"/>
          <cell r="D14"/>
        </row>
        <row r="15">
          <cell r="A15">
            <v>141</v>
          </cell>
          <cell r="B15" t="str">
            <v>Reintegro con Ingresos Propios FAM/Asistencia Social</v>
          </cell>
          <cell r="C15"/>
          <cell r="D15"/>
        </row>
        <row r="16">
          <cell r="A16">
            <v>142</v>
          </cell>
          <cell r="B16" t="str">
            <v>Reintegro con Ingresos Propios FAM/Infraest. Educación Básica</v>
          </cell>
          <cell r="C16"/>
          <cell r="D16"/>
        </row>
        <row r="17">
          <cell r="A17">
            <v>143</v>
          </cell>
          <cell r="B17" t="str">
            <v>Reintegro con Ingresos Propios FAM/ Infraest. Educación Media Superior y Superior</v>
          </cell>
          <cell r="C17"/>
          <cell r="D17"/>
        </row>
        <row r="18">
          <cell r="A18">
            <v>145</v>
          </cell>
          <cell r="B18" t="str">
            <v>Reintegro con Ingresos Propios FAETA/Educ. Tecnológica (CONALEP)</v>
          </cell>
          <cell r="C18"/>
          <cell r="D18"/>
        </row>
        <row r="19">
          <cell r="A19">
            <v>146</v>
          </cell>
          <cell r="B19" t="str">
            <v>Reintegro con Ingresos Propios FAETA Educ. Adultos (IEEA)</v>
          </cell>
          <cell r="C19"/>
          <cell r="D19"/>
        </row>
        <row r="20">
          <cell r="A20">
            <v>147</v>
          </cell>
          <cell r="B20" t="str">
            <v>Reintegro con Ingresos Propios FASP</v>
          </cell>
          <cell r="C20"/>
          <cell r="D20"/>
        </row>
        <row r="21">
          <cell r="A21">
            <v>148</v>
          </cell>
          <cell r="B21" t="str">
            <v>Reintegro con Ingresos Propios FAFEF</v>
          </cell>
          <cell r="C21"/>
          <cell r="D21"/>
        </row>
        <row r="22">
          <cell r="A22">
            <v>149</v>
          </cell>
          <cell r="B22" t="str">
            <v>Reintegro con Ingresos Propios SEDATU</v>
          </cell>
          <cell r="C22"/>
          <cell r="D22"/>
        </row>
        <row r="23">
          <cell r="A23">
            <v>161</v>
          </cell>
          <cell r="B23" t="str">
            <v>Reintegro con Ingresos Propios CULTURA Ramo 48</v>
          </cell>
          <cell r="C23"/>
          <cell r="D23"/>
        </row>
        <row r="24">
          <cell r="A24">
            <v>162</v>
          </cell>
          <cell r="B24" t="str">
            <v>Reintegro con Ingresos Propios UABCS</v>
          </cell>
          <cell r="C24"/>
          <cell r="D24"/>
        </row>
        <row r="25">
          <cell r="A25">
            <v>163</v>
          </cell>
          <cell r="B25" t="str">
            <v>Reintegro con Ingresos Propios CONAGUA</v>
          </cell>
          <cell r="C25"/>
          <cell r="D25"/>
        </row>
        <row r="26">
          <cell r="A26">
            <v>164</v>
          </cell>
          <cell r="B26" t="str">
            <v>Reintegro con Ingresos Propios SEGOB</v>
          </cell>
          <cell r="C26"/>
          <cell r="D26"/>
        </row>
        <row r="27">
          <cell r="A27">
            <v>165</v>
          </cell>
          <cell r="B27" t="str">
            <v>Reintegro con Ingresos Propios SECTUR</v>
          </cell>
          <cell r="C27"/>
          <cell r="D27"/>
        </row>
        <row r="28">
          <cell r="A28">
            <v>166</v>
          </cell>
          <cell r="B28" t="str">
            <v>Reintegro con Ingresos Propios PROFIS</v>
          </cell>
          <cell r="C28"/>
          <cell r="D28"/>
        </row>
        <row r="29">
          <cell r="A29">
            <v>167</v>
          </cell>
          <cell r="B29" t="str">
            <v>Reintegro con Ingresos Propios SSP</v>
          </cell>
          <cell r="C29"/>
          <cell r="D29"/>
        </row>
        <row r="30">
          <cell r="A30">
            <v>168</v>
          </cell>
          <cell r="B30" t="str">
            <v>Reintegro con Ingresos Propios COBACH</v>
          </cell>
          <cell r="C30"/>
          <cell r="D30"/>
        </row>
        <row r="31">
          <cell r="A31">
            <v>169</v>
          </cell>
          <cell r="B31" t="str">
            <v>Reintegro con Ingresos Propios Fondo Proporcional Peso a Peso</v>
          </cell>
          <cell r="C31"/>
          <cell r="D31"/>
        </row>
        <row r="32">
          <cell r="A32">
            <v>170</v>
          </cell>
          <cell r="B32" t="str">
            <v>Reintegro con Ingresos Propios CECYTE</v>
          </cell>
          <cell r="C32"/>
          <cell r="D32"/>
        </row>
        <row r="33">
          <cell r="A33">
            <v>171</v>
          </cell>
          <cell r="B33" t="str">
            <v>Reintegro con Ingresos Propios Imp. Ref. Penal (SETEC)</v>
          </cell>
          <cell r="C33"/>
          <cell r="D33"/>
        </row>
        <row r="34">
          <cell r="A34">
            <v>172</v>
          </cell>
          <cell r="B34" t="str">
            <v>Reintegro con Ingresos Propios CONADE</v>
          </cell>
          <cell r="C34"/>
          <cell r="D34"/>
        </row>
        <row r="35">
          <cell r="A35">
            <v>173</v>
          </cell>
          <cell r="B35" t="str">
            <v>Reintegro con Ingresos Propios Conv. Salud (Ramo 12)</v>
          </cell>
          <cell r="C35"/>
          <cell r="D35"/>
        </row>
        <row r="36">
          <cell r="A36">
            <v>174</v>
          </cell>
          <cell r="B36" t="str">
            <v>Reintegro con Ingresos Propios Secretaría de Economía</v>
          </cell>
          <cell r="C36"/>
          <cell r="D36"/>
        </row>
        <row r="37">
          <cell r="A37">
            <v>177</v>
          </cell>
          <cell r="B37" t="str">
            <v>Reintegro con Ingresos Propios SUBSEMUN</v>
          </cell>
          <cell r="C37"/>
          <cell r="D37"/>
        </row>
        <row r="38">
          <cell r="A38">
            <v>178</v>
          </cell>
          <cell r="B38" t="str">
            <v>Reintegro con Ingresos Propios Fondo Para La Infraest. de los Estados</v>
          </cell>
          <cell r="C38"/>
          <cell r="D38"/>
        </row>
        <row r="39">
          <cell r="A39">
            <v>179</v>
          </cell>
          <cell r="B39" t="str">
            <v>Reintegro con Ingresos Propios Apoyo Financiero Ext. UABCS</v>
          </cell>
          <cell r="C39"/>
          <cell r="D39"/>
        </row>
        <row r="40">
          <cell r="A40">
            <v>180</v>
          </cell>
          <cell r="B40" t="str">
            <v>Reintegro con Ingresos Propios Apoyo Financiero Ext. ISIFE</v>
          </cell>
          <cell r="C40"/>
          <cell r="D40"/>
        </row>
        <row r="41">
          <cell r="A41">
            <v>181</v>
          </cell>
          <cell r="B41" t="str">
            <v>Reintegro con Ingresos Propios Subs. Policía Estatal Acreditable (SPA)</v>
          </cell>
          <cell r="C41"/>
          <cell r="D41"/>
        </row>
        <row r="42">
          <cell r="A42">
            <v>182</v>
          </cell>
          <cell r="B42" t="str">
            <v>Reintegro con Ingresos Propios PROASP</v>
          </cell>
          <cell r="C42"/>
          <cell r="D42"/>
        </row>
        <row r="43">
          <cell r="A43">
            <v>183</v>
          </cell>
          <cell r="B43" t="str">
            <v>Reintegro con Ingresos Propios Ingresos Extraordinarios</v>
          </cell>
          <cell r="C43"/>
          <cell r="D43"/>
        </row>
        <row r="44">
          <cell r="A44">
            <v>184</v>
          </cell>
          <cell r="B44" t="str">
            <v>Reintegro con Ingresos Propios Ingresos Derivados del 5 Al Millar (Obra)</v>
          </cell>
          <cell r="C44"/>
          <cell r="D44"/>
        </row>
        <row r="45">
          <cell r="A45">
            <v>185</v>
          </cell>
          <cell r="B45" t="str">
            <v>Reintegro con Ingresos Propios Ingresos Extraordinarios Ramo 23</v>
          </cell>
          <cell r="C45"/>
          <cell r="D45"/>
        </row>
        <row r="46">
          <cell r="A46">
            <v>186</v>
          </cell>
          <cell r="B46" t="str">
            <v>Reintegro con Ingresos Propios Ingresos Extraordinarios Ramo 21</v>
          </cell>
          <cell r="C46"/>
          <cell r="D46"/>
        </row>
        <row r="47">
          <cell r="A47">
            <v>187</v>
          </cell>
          <cell r="B47" t="str">
            <v>Reintegro con Ingresos Propios Ingresos Extraordinarios Sep. Ramo 11</v>
          </cell>
          <cell r="C47"/>
          <cell r="D47"/>
        </row>
        <row r="48">
          <cell r="A48">
            <v>188</v>
          </cell>
          <cell r="B48" t="str">
            <v>Reintegro con Ingresos Propios Ingresos Ext. Ramo 09 (SCT)</v>
          </cell>
          <cell r="C48"/>
          <cell r="D48"/>
        </row>
        <row r="49">
          <cell r="A49">
            <v>189</v>
          </cell>
          <cell r="B49" t="str">
            <v>Reintegro con Ingresos Propios Ingresos Ext. Ramo 16 (SEMARNAT)</v>
          </cell>
          <cell r="C49"/>
          <cell r="D49"/>
        </row>
        <row r="50">
          <cell r="A50">
            <v>201</v>
          </cell>
          <cell r="B50" t="str">
            <v>BONO CUPÓN CERO</v>
          </cell>
          <cell r="C50"/>
          <cell r="D50"/>
        </row>
        <row r="51">
          <cell r="A51">
            <v>500</v>
          </cell>
          <cell r="B51" t="str">
            <v>RECURSOS FEDERALES</v>
          </cell>
          <cell r="C51"/>
          <cell r="D51"/>
        </row>
        <row r="52">
          <cell r="A52">
            <v>530</v>
          </cell>
          <cell r="B52" t="str">
            <v>PARTICIPACIONES Ramo 28</v>
          </cell>
          <cell r="C52"/>
          <cell r="D52"/>
        </row>
        <row r="53">
          <cell r="A53">
            <v>535</v>
          </cell>
          <cell r="B53" t="str">
            <v>INTERESES BANCARIOS PROYECTADOS, RECURSOS FEDERALES</v>
          </cell>
          <cell r="C53"/>
          <cell r="D53"/>
        </row>
        <row r="54">
          <cell r="A54">
            <v>536</v>
          </cell>
          <cell r="B54" t="str">
            <v>FONE Ramo 33</v>
          </cell>
          <cell r="C54"/>
          <cell r="D54"/>
        </row>
        <row r="55">
          <cell r="A55">
            <v>537</v>
          </cell>
          <cell r="B55" t="str">
            <v>FASSA Ramo 33</v>
          </cell>
          <cell r="C55"/>
          <cell r="D55"/>
        </row>
        <row r="56">
          <cell r="A56">
            <v>538</v>
          </cell>
          <cell r="B56" t="str">
            <v>FAIS/FISE Ramo 33</v>
          </cell>
          <cell r="C56"/>
          <cell r="D56"/>
        </row>
        <row r="57">
          <cell r="A57">
            <v>539</v>
          </cell>
          <cell r="B57" t="str">
            <v>FAIS/FISM Ramo 33</v>
          </cell>
          <cell r="C57"/>
          <cell r="D57"/>
        </row>
        <row r="58">
          <cell r="A58">
            <v>540</v>
          </cell>
          <cell r="B58" t="str">
            <v>FORTAMUN Ramo 33</v>
          </cell>
          <cell r="C58"/>
          <cell r="D58"/>
        </row>
        <row r="59">
          <cell r="A59">
            <v>541</v>
          </cell>
          <cell r="B59" t="str">
            <v>FAM/ASISTENCIA SOCIAL Ramo 33</v>
          </cell>
          <cell r="C59"/>
          <cell r="D59"/>
        </row>
        <row r="60">
          <cell r="A60">
            <v>542</v>
          </cell>
          <cell r="B60" t="str">
            <v>FAM/INFRAESTRUCTURA DE EDUCACIÓN BÁSICA Ramo 33</v>
          </cell>
          <cell r="C60"/>
          <cell r="D60"/>
        </row>
        <row r="61">
          <cell r="A61">
            <v>543</v>
          </cell>
          <cell r="B61" t="str">
            <v>FAM/EDUCACIÓN MEDIA SUPERIOR Y SUPERIOR Ramo 33</v>
          </cell>
          <cell r="C61"/>
          <cell r="D61"/>
        </row>
        <row r="62">
          <cell r="A62">
            <v>545</v>
          </cell>
          <cell r="B62" t="str">
            <v>FAETA/EDUCACIÓN TECNOLÓGICA ( CONALEP) Ramo 33</v>
          </cell>
          <cell r="C62"/>
          <cell r="D62"/>
        </row>
        <row r="63">
          <cell r="A63">
            <v>546</v>
          </cell>
          <cell r="B63" t="str">
            <v>FAETA/EDUCACIÓN ADULTOS (IEEA) Ramo 33</v>
          </cell>
          <cell r="C63"/>
          <cell r="D63"/>
        </row>
        <row r="64">
          <cell r="A64">
            <v>547</v>
          </cell>
          <cell r="B64" t="str">
            <v>FASP Ramo 33</v>
          </cell>
          <cell r="C64"/>
          <cell r="D64"/>
        </row>
        <row r="65">
          <cell r="A65">
            <v>548</v>
          </cell>
          <cell r="B65" t="str">
            <v>FAFEF Ramo 33</v>
          </cell>
          <cell r="C65"/>
          <cell r="D65"/>
        </row>
        <row r="66">
          <cell r="A66">
            <v>549</v>
          </cell>
          <cell r="B66" t="str">
            <v>SRIA. DE DES. AGRARIO TERRITORIAL Y URBANO (SEDATU) Ramo 15</v>
          </cell>
          <cell r="C66"/>
          <cell r="D66"/>
        </row>
        <row r="67">
          <cell r="A67">
            <v>561</v>
          </cell>
          <cell r="B67" t="str">
            <v>CULTURA FEDERAL Ramo 48</v>
          </cell>
          <cell r="C67"/>
          <cell r="D67"/>
        </row>
        <row r="68">
          <cell r="A68">
            <v>562</v>
          </cell>
          <cell r="B68" t="str">
            <v>UNIVERSIDAD AUTÓNOMA DE B.C.S. Ramo 11</v>
          </cell>
          <cell r="C68"/>
          <cell r="D68"/>
        </row>
        <row r="69">
          <cell r="A69">
            <v>563</v>
          </cell>
          <cell r="B69" t="str">
            <v>CONAGUA Ramo 16</v>
          </cell>
          <cell r="C69"/>
          <cell r="D69"/>
        </row>
        <row r="70">
          <cell r="A70">
            <v>564</v>
          </cell>
          <cell r="B70" t="str">
            <v>SECRETARÍA DE GOBERNACIÓN Ramo 04</v>
          </cell>
          <cell r="C70"/>
          <cell r="D70"/>
        </row>
        <row r="71">
          <cell r="A71">
            <v>565</v>
          </cell>
          <cell r="B71" t="str">
            <v>SECRETARÍA DE TURISMO Ramo 21</v>
          </cell>
          <cell r="C71"/>
          <cell r="D71"/>
        </row>
        <row r="72">
          <cell r="A72">
            <v>566</v>
          </cell>
          <cell r="B72" t="str">
            <v>PROFIS</v>
          </cell>
          <cell r="C72"/>
          <cell r="D72"/>
        </row>
        <row r="73">
          <cell r="A73">
            <v>567</v>
          </cell>
          <cell r="B73" t="str">
            <v>SECRETARÍA DE SEGURIDAD PÚBLICA</v>
          </cell>
          <cell r="C73"/>
          <cell r="D73"/>
        </row>
        <row r="74">
          <cell r="A74">
            <v>568</v>
          </cell>
          <cell r="B74" t="str">
            <v>COBACH Ramo 11</v>
          </cell>
          <cell r="C74"/>
          <cell r="D74"/>
        </row>
        <row r="75">
          <cell r="A75">
            <v>569</v>
          </cell>
          <cell r="B75" t="str">
            <v>FONDO PROPORCIONAL PESO A PESO</v>
          </cell>
          <cell r="C75"/>
          <cell r="D75"/>
        </row>
        <row r="76">
          <cell r="A76">
            <v>570</v>
          </cell>
          <cell r="B76" t="str">
            <v>CECYTE Ramo 11</v>
          </cell>
          <cell r="C76"/>
          <cell r="D76"/>
        </row>
        <row r="77">
          <cell r="A77">
            <v>571</v>
          </cell>
          <cell r="B77" t="str">
            <v>IMPLEMENTACIÓN DE LA REFORMA PENAL (SETEC)</v>
          </cell>
          <cell r="C77"/>
          <cell r="D77"/>
        </row>
        <row r="78">
          <cell r="A78">
            <v>572</v>
          </cell>
          <cell r="B78" t="str">
            <v>CONADE Ramo 11</v>
          </cell>
          <cell r="C78"/>
          <cell r="D78"/>
        </row>
        <row r="79">
          <cell r="A79">
            <v>573</v>
          </cell>
          <cell r="B79" t="str">
            <v>CONVENIOS Ramo 12</v>
          </cell>
          <cell r="C79"/>
          <cell r="D79"/>
        </row>
        <row r="80">
          <cell r="A80">
            <v>574</v>
          </cell>
          <cell r="B80" t="str">
            <v>SECRETARÍA DE ECONOMÍA Ramo 10</v>
          </cell>
          <cell r="C80"/>
          <cell r="D80"/>
        </row>
        <row r="81">
          <cell r="A81">
            <v>577</v>
          </cell>
          <cell r="B81" t="str">
            <v>SUBSIDIO SEGURIDAD PÚBLICA MUNICIPAL</v>
          </cell>
          <cell r="C81"/>
          <cell r="D81"/>
        </row>
        <row r="82">
          <cell r="A82">
            <v>578</v>
          </cell>
          <cell r="B82" t="str">
            <v>FIDEICOMISO PARA LA INFRAESTRUCTURA DE LOS ESTADOS Ramo 23</v>
          </cell>
          <cell r="C82"/>
          <cell r="D82"/>
        </row>
        <row r="83">
          <cell r="A83">
            <v>579</v>
          </cell>
          <cell r="B83" t="str">
            <v>APOYO FINANCIERO EXTRAORDINARIO UABCS Ramo 11</v>
          </cell>
          <cell r="C83"/>
          <cell r="D83"/>
        </row>
        <row r="84">
          <cell r="A84">
            <v>580</v>
          </cell>
          <cell r="B84" t="str">
            <v>APOYO FINANCIERO EXTRAORDINARIO ISIFE Ramo 11</v>
          </cell>
          <cell r="C84"/>
          <cell r="D84"/>
        </row>
        <row r="85">
          <cell r="A85">
            <v>581</v>
          </cell>
          <cell r="B85" t="str">
            <v>SUBSIDIO POLICÍA ESTATAL ACREDITABLE (SPA)</v>
          </cell>
          <cell r="C85"/>
          <cell r="D85"/>
        </row>
        <row r="86">
          <cell r="A86">
            <v>582</v>
          </cell>
          <cell r="B86" t="str">
            <v>PROASP PROG. DE ALCANCE NAL. EN MAT. DE SEG. PUB. Ramo 04</v>
          </cell>
          <cell r="C86"/>
          <cell r="D86"/>
        </row>
        <row r="87">
          <cell r="A87">
            <v>583</v>
          </cell>
          <cell r="B87" t="str">
            <v>INGRESOS EXTRAORDINARIOS</v>
          </cell>
          <cell r="C87"/>
          <cell r="D87"/>
        </row>
        <row r="88">
          <cell r="A88">
            <v>584</v>
          </cell>
          <cell r="B88" t="str">
            <v>INGRESOS DERIVADOS DEL 5 AL MILLAR (OBRA)</v>
          </cell>
          <cell r="C88"/>
          <cell r="D88"/>
        </row>
        <row r="89">
          <cell r="A89">
            <v>585</v>
          </cell>
          <cell r="B89" t="str">
            <v>INGRESOS EXT Ramo 23 ( Provisiones Salariales y Económicas )</v>
          </cell>
          <cell r="C89"/>
          <cell r="D89"/>
        </row>
        <row r="90">
          <cell r="A90">
            <v>586</v>
          </cell>
          <cell r="B90" t="str">
            <v>INGRESOS EXT Ramo 21 (TURISMO)</v>
          </cell>
          <cell r="C90"/>
          <cell r="D90"/>
        </row>
        <row r="91">
          <cell r="A91">
            <v>587</v>
          </cell>
          <cell r="B91" t="str">
            <v>INGRESOS EXT Ramo 11 (SEP)</v>
          </cell>
          <cell r="C91"/>
          <cell r="D91"/>
        </row>
        <row r="92">
          <cell r="A92">
            <v>588</v>
          </cell>
          <cell r="B92" t="str">
            <v>INGRESOS EXT Ramo 09 (SCT)</v>
          </cell>
          <cell r="C92"/>
          <cell r="D92"/>
        </row>
        <row r="93">
          <cell r="A93">
            <v>589</v>
          </cell>
          <cell r="B93" t="str">
            <v>INGRESOS EXT Ramo 16 (SEMARNAT)</v>
          </cell>
          <cell r="C93"/>
          <cell r="D93"/>
        </row>
        <row r="94">
          <cell r="A94">
            <v>590</v>
          </cell>
          <cell r="B94" t="str">
            <v>INGRESOS EXT FORTASEG Ramo 04 (GOBERNACIÓN)</v>
          </cell>
          <cell r="C94"/>
          <cell r="D94"/>
        </row>
        <row r="95">
          <cell r="A95">
            <v>591</v>
          </cell>
          <cell r="B95" t="str">
            <v>INGRESOS EXT Ramo 20 (BIENESTAR)</v>
          </cell>
          <cell r="C95"/>
          <cell r="D95"/>
        </row>
        <row r="96">
          <cell r="A96">
            <v>598</v>
          </cell>
          <cell r="B96" t="str">
            <v>REMANENTE FONE 2016</v>
          </cell>
          <cell r="C96"/>
          <cell r="D96"/>
        </row>
        <row r="97">
          <cell r="A97">
            <v>599</v>
          </cell>
          <cell r="B97" t="str">
            <v>REMANENTE FONE 2015</v>
          </cell>
          <cell r="C97"/>
          <cell r="D97"/>
        </row>
        <row r="98">
          <cell r="A98">
            <v>700</v>
          </cell>
          <cell r="B98" t="str">
            <v>OTROS RECURSOS</v>
          </cell>
          <cell r="C98"/>
          <cell r="D98"/>
        </row>
        <row r="99">
          <cell r="A99">
            <v>736</v>
          </cell>
          <cell r="B99" t="str">
            <v>RENDIMIENTOS FONE</v>
          </cell>
          <cell r="C99"/>
          <cell r="D99"/>
        </row>
        <row r="100">
          <cell r="A100">
            <v>737</v>
          </cell>
          <cell r="B100" t="str">
            <v>RENDIMIENTOS FAM</v>
          </cell>
          <cell r="C100"/>
          <cell r="D100"/>
        </row>
        <row r="101">
          <cell r="A101">
            <v>747</v>
          </cell>
          <cell r="B101" t="str">
            <v>RENDIMIENTOS FASP</v>
          </cell>
          <cell r="C101"/>
          <cell r="D101"/>
        </row>
        <row r="102">
          <cell r="A102">
            <v>783</v>
          </cell>
          <cell r="B102" t="str">
            <v>INGRESOS EXTRAORDINARIOS (OTROS)</v>
          </cell>
          <cell r="C102"/>
          <cell r="D102"/>
        </row>
      </sheetData>
      <sheetData sheetId="5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AS"/>
      <sheetName val="CAPITULO"/>
      <sheetName val="PARTIDA"/>
      <sheetName val="COG"/>
      <sheetName val="FF"/>
      <sheetName val="PROCED"/>
    </sheetNames>
    <sheetDataSet>
      <sheetData sheetId="0"/>
      <sheetData sheetId="1"/>
      <sheetData sheetId="2">
        <row r="2">
          <cell r="H2" t="str">
            <v>MATERIALES</v>
          </cell>
        </row>
        <row r="3">
          <cell r="H3" t="str">
            <v>SERVICIOS</v>
          </cell>
        </row>
        <row r="4">
          <cell r="H4" t="str">
            <v>BIENES</v>
          </cell>
        </row>
      </sheetData>
      <sheetData sheetId="3"/>
      <sheetData sheetId="4">
        <row r="1">
          <cell r="A1" t="str">
            <v>NOMENCLATURA</v>
          </cell>
          <cell r="B1" t="str">
            <v>DESCRPCION</v>
          </cell>
          <cell r="C1"/>
          <cell r="D1"/>
        </row>
        <row r="2">
          <cell r="A2">
            <v>100</v>
          </cell>
          <cell r="B2" t="str">
            <v>INGRESOS PROPIOS Y APROVECHAMIENTOS</v>
          </cell>
          <cell r="C2"/>
          <cell r="D2"/>
        </row>
        <row r="3">
          <cell r="A3">
            <v>101</v>
          </cell>
          <cell r="B3" t="str">
            <v>INGRESOS PROPIOS (IMPUESTOS, DERECHOS, PRODUCTOS Y APROVECHAMIENTOS)</v>
          </cell>
          <cell r="C3"/>
          <cell r="D3"/>
        </row>
        <row r="4">
          <cell r="A4">
            <v>102</v>
          </cell>
          <cell r="B4" t="str">
            <v>INGRESOS PROPIOS</v>
          </cell>
          <cell r="C4"/>
          <cell r="D4"/>
        </row>
        <row r="5">
          <cell r="A5">
            <v>103</v>
          </cell>
          <cell r="B5" t="str">
            <v>INGRESOS PROPIOS APORTACIONES MUNICIPALES</v>
          </cell>
          <cell r="C5"/>
          <cell r="D5"/>
        </row>
        <row r="6">
          <cell r="A6">
            <v>104</v>
          </cell>
          <cell r="B6" t="str">
            <v>APROVECHAMIENTO POR EL USO DE LA I NFRAESTRUCTURA ESTATAL</v>
          </cell>
          <cell r="C6"/>
          <cell r="D6"/>
        </row>
        <row r="7">
          <cell r="A7">
            <v>110</v>
          </cell>
          <cell r="B7" t="str">
            <v>RECURSO F.O.I.S.</v>
          </cell>
          <cell r="C7"/>
          <cell r="D7"/>
        </row>
        <row r="8">
          <cell r="A8">
            <v>111</v>
          </cell>
          <cell r="B8" t="str">
            <v>RECURSO A.P.I.</v>
          </cell>
          <cell r="C8"/>
          <cell r="D8"/>
        </row>
        <row r="9">
          <cell r="A9">
            <v>130</v>
          </cell>
          <cell r="B9" t="str">
            <v>Reintegro con Ingresos Propios Ramo 28</v>
          </cell>
          <cell r="C9"/>
          <cell r="D9"/>
        </row>
        <row r="10">
          <cell r="A10">
            <v>136</v>
          </cell>
          <cell r="B10" t="str">
            <v>Reintegro con Ingresos Propios FONE</v>
          </cell>
          <cell r="C10"/>
          <cell r="D10"/>
        </row>
        <row r="11">
          <cell r="A11">
            <v>137</v>
          </cell>
          <cell r="B11" t="str">
            <v>Reintegro con Ingresos Propios FASSA</v>
          </cell>
          <cell r="C11"/>
          <cell r="D11"/>
        </row>
        <row r="12">
          <cell r="A12">
            <v>138</v>
          </cell>
          <cell r="B12" t="str">
            <v>Reintegro con Ingresos Propios FAIS/FISE</v>
          </cell>
          <cell r="C12"/>
          <cell r="D12"/>
        </row>
        <row r="13">
          <cell r="A13">
            <v>139</v>
          </cell>
          <cell r="B13" t="str">
            <v>Reintegro con Ingresos Propios FAIS/FISM</v>
          </cell>
          <cell r="C13"/>
          <cell r="D13"/>
        </row>
        <row r="14">
          <cell r="A14">
            <v>140</v>
          </cell>
          <cell r="B14" t="str">
            <v>Reintegro con Ingresos Propios FORTAMUN</v>
          </cell>
          <cell r="C14"/>
          <cell r="D14"/>
        </row>
        <row r="15">
          <cell r="A15">
            <v>141</v>
          </cell>
          <cell r="B15" t="str">
            <v>Reintegro con Ingresos Propios FAM/Asistencia Social</v>
          </cell>
          <cell r="C15"/>
          <cell r="D15"/>
        </row>
        <row r="16">
          <cell r="A16">
            <v>142</v>
          </cell>
          <cell r="B16" t="str">
            <v>Reintegro con Ingresos Propios FAM/Infraest. Educación Básica</v>
          </cell>
          <cell r="C16"/>
          <cell r="D16"/>
        </row>
        <row r="17">
          <cell r="A17">
            <v>143</v>
          </cell>
          <cell r="B17" t="str">
            <v>Reintegro con Ingresos Propios FAM/ Infraest. Educación Media Superior y Superior</v>
          </cell>
          <cell r="C17"/>
          <cell r="D17"/>
        </row>
        <row r="18">
          <cell r="A18">
            <v>145</v>
          </cell>
          <cell r="B18" t="str">
            <v>Reintegro con Ingresos Propios FAETA/Educ. Tecnológica (CONALEP)</v>
          </cell>
          <cell r="C18"/>
          <cell r="D18"/>
        </row>
        <row r="19">
          <cell r="A19">
            <v>146</v>
          </cell>
          <cell r="B19" t="str">
            <v>Reintegro con Ingresos Propios FAETA Educ. Adultos (IEEA)</v>
          </cell>
          <cell r="C19"/>
          <cell r="D19"/>
        </row>
        <row r="20">
          <cell r="A20">
            <v>147</v>
          </cell>
          <cell r="B20" t="str">
            <v>Reintegro con Ingresos Propios FASP</v>
          </cell>
          <cell r="C20"/>
          <cell r="D20"/>
        </row>
        <row r="21">
          <cell r="A21">
            <v>148</v>
          </cell>
          <cell r="B21" t="str">
            <v>Reintegro con Ingresos Propios FAFEF</v>
          </cell>
          <cell r="C21"/>
          <cell r="D21"/>
        </row>
        <row r="22">
          <cell r="A22">
            <v>149</v>
          </cell>
          <cell r="B22" t="str">
            <v>Reintegro con Ingresos Propios SEDATU</v>
          </cell>
          <cell r="C22"/>
          <cell r="D22"/>
        </row>
        <row r="23">
          <cell r="A23">
            <v>161</v>
          </cell>
          <cell r="B23" t="str">
            <v>Reintegro con Ingresos Propios CULTURA Ramo 48</v>
          </cell>
          <cell r="C23"/>
          <cell r="D23"/>
        </row>
        <row r="24">
          <cell r="A24">
            <v>162</v>
          </cell>
          <cell r="B24" t="str">
            <v>Reintegro con Ingresos Propios UABCS</v>
          </cell>
          <cell r="C24"/>
          <cell r="D24"/>
        </row>
        <row r="25">
          <cell r="A25">
            <v>163</v>
          </cell>
          <cell r="B25" t="str">
            <v>Reintegro con Ingresos Propios CONAGUA</v>
          </cell>
          <cell r="C25"/>
          <cell r="D25"/>
        </row>
        <row r="26">
          <cell r="A26">
            <v>164</v>
          </cell>
          <cell r="B26" t="str">
            <v>Reintegro con Ingresos Propios SEGOB</v>
          </cell>
          <cell r="C26"/>
          <cell r="D26"/>
        </row>
        <row r="27">
          <cell r="A27">
            <v>165</v>
          </cell>
          <cell r="B27" t="str">
            <v>Reintegro con Ingresos Propios SECTUR</v>
          </cell>
          <cell r="C27"/>
          <cell r="D27"/>
        </row>
        <row r="28">
          <cell r="A28">
            <v>166</v>
          </cell>
          <cell r="B28" t="str">
            <v>Reintegro con Ingresos Propios PROFIS</v>
          </cell>
          <cell r="C28"/>
          <cell r="D28"/>
        </row>
        <row r="29">
          <cell r="A29">
            <v>167</v>
          </cell>
          <cell r="B29" t="str">
            <v>Reintegro con Ingresos Propios SSP</v>
          </cell>
          <cell r="C29"/>
          <cell r="D29"/>
        </row>
        <row r="30">
          <cell r="A30">
            <v>168</v>
          </cell>
          <cell r="B30" t="str">
            <v>Reintegro con Ingresos Propios COBACH</v>
          </cell>
          <cell r="C30"/>
          <cell r="D30"/>
        </row>
        <row r="31">
          <cell r="A31">
            <v>169</v>
          </cell>
          <cell r="B31" t="str">
            <v>Reintegro con Ingresos Propios Fondo Proporcional Peso a Peso</v>
          </cell>
          <cell r="C31"/>
          <cell r="D31"/>
        </row>
        <row r="32">
          <cell r="A32">
            <v>170</v>
          </cell>
          <cell r="B32" t="str">
            <v>Reintegro con Ingresos Propios CECYTE</v>
          </cell>
          <cell r="C32"/>
          <cell r="D32"/>
        </row>
        <row r="33">
          <cell r="A33">
            <v>171</v>
          </cell>
          <cell r="B33" t="str">
            <v>Reintegro con Ingresos Propios Imp. Ref. Penal (SETEC)</v>
          </cell>
          <cell r="C33"/>
          <cell r="D33"/>
        </row>
        <row r="34">
          <cell r="A34">
            <v>172</v>
          </cell>
          <cell r="B34" t="str">
            <v>Reintegro con Ingresos Propios CONADE</v>
          </cell>
          <cell r="C34"/>
          <cell r="D34"/>
        </row>
        <row r="35">
          <cell r="A35">
            <v>173</v>
          </cell>
          <cell r="B35" t="str">
            <v>Reintegro con Ingresos Propios Conv. Salud (Ramo 12)</v>
          </cell>
          <cell r="C35"/>
          <cell r="D35"/>
        </row>
        <row r="36">
          <cell r="A36">
            <v>174</v>
          </cell>
          <cell r="B36" t="str">
            <v>Reintegro con Ingresos Propios Secretaría de Economía</v>
          </cell>
          <cell r="C36"/>
          <cell r="D36"/>
        </row>
        <row r="37">
          <cell r="A37">
            <v>177</v>
          </cell>
          <cell r="B37" t="str">
            <v>Reintegro con Ingresos Propios SUBSEMUN</v>
          </cell>
          <cell r="C37"/>
          <cell r="D37"/>
        </row>
        <row r="38">
          <cell r="A38">
            <v>178</v>
          </cell>
          <cell r="B38" t="str">
            <v>Reintegro con Ingresos Propios Fondo Para La Infraest. de los Estados</v>
          </cell>
          <cell r="C38"/>
          <cell r="D38"/>
        </row>
        <row r="39">
          <cell r="A39">
            <v>179</v>
          </cell>
          <cell r="B39" t="str">
            <v>Reintegro con Ingresos Propios Apoyo Financiero Ext. UABCS</v>
          </cell>
          <cell r="C39"/>
          <cell r="D39"/>
        </row>
        <row r="40">
          <cell r="A40">
            <v>180</v>
          </cell>
          <cell r="B40" t="str">
            <v>Reintegro con Ingresos Propios Apoyo Financiero Ext. ISIFE</v>
          </cell>
          <cell r="C40"/>
          <cell r="D40"/>
        </row>
        <row r="41">
          <cell r="A41">
            <v>181</v>
          </cell>
          <cell r="B41" t="str">
            <v>Reintegro con Ingresos Propios Subs. Policía Estatal Acreditable (SPA)</v>
          </cell>
          <cell r="C41"/>
          <cell r="D41"/>
        </row>
        <row r="42">
          <cell r="A42">
            <v>182</v>
          </cell>
          <cell r="B42" t="str">
            <v>Reintegro con Ingresos Propios PROASP</v>
          </cell>
          <cell r="C42"/>
          <cell r="D42"/>
        </row>
        <row r="43">
          <cell r="A43">
            <v>183</v>
          </cell>
          <cell r="B43" t="str">
            <v>Reintegro con Ingresos Propios Ingresos Extraordinarios</v>
          </cell>
          <cell r="C43"/>
          <cell r="D43"/>
        </row>
        <row r="44">
          <cell r="A44">
            <v>184</v>
          </cell>
          <cell r="B44" t="str">
            <v>Reintegro con Ingresos Propios Ingresos Derivados del 5 Al Millar (Obra)</v>
          </cell>
          <cell r="C44"/>
          <cell r="D44"/>
        </row>
        <row r="45">
          <cell r="A45">
            <v>185</v>
          </cell>
          <cell r="B45" t="str">
            <v>Reintegro con Ingresos Propios Ingresos Extraordinarios Ramo 23</v>
          </cell>
          <cell r="C45"/>
          <cell r="D45"/>
        </row>
        <row r="46">
          <cell r="A46">
            <v>186</v>
          </cell>
          <cell r="B46" t="str">
            <v>Reintegro con Ingresos Propios Ingresos Extraordinarios Ramo 21</v>
          </cell>
          <cell r="C46"/>
          <cell r="D46"/>
        </row>
        <row r="47">
          <cell r="A47">
            <v>187</v>
          </cell>
          <cell r="B47" t="str">
            <v>Reintegro con Ingresos Propios Ingresos Extraordinarios Sep. Ramo 11</v>
          </cell>
          <cell r="C47"/>
          <cell r="D47"/>
        </row>
        <row r="48">
          <cell r="A48">
            <v>188</v>
          </cell>
          <cell r="B48" t="str">
            <v>Reintegro con Ingresos Propios Ingresos Ext. Ramo 09 (SCT)</v>
          </cell>
          <cell r="C48"/>
          <cell r="D48"/>
        </row>
        <row r="49">
          <cell r="A49">
            <v>189</v>
          </cell>
          <cell r="B49" t="str">
            <v>Reintegro con Ingresos Propios Ingresos Ext. Ramo 16 (SEMARNAT)</v>
          </cell>
          <cell r="C49"/>
          <cell r="D49"/>
        </row>
        <row r="50">
          <cell r="A50">
            <v>201</v>
          </cell>
          <cell r="B50" t="str">
            <v>BONO CUPÓN CERO</v>
          </cell>
          <cell r="C50"/>
          <cell r="D50"/>
        </row>
        <row r="51">
          <cell r="A51">
            <v>500</v>
          </cell>
          <cell r="B51" t="str">
            <v>RECURSOS FEDERALES</v>
          </cell>
          <cell r="C51"/>
          <cell r="D51"/>
        </row>
        <row r="52">
          <cell r="A52">
            <v>530</v>
          </cell>
          <cell r="B52" t="str">
            <v>PARTICIPACIONES Ramo 28</v>
          </cell>
          <cell r="C52"/>
          <cell r="D52"/>
        </row>
        <row r="53">
          <cell r="A53">
            <v>535</v>
          </cell>
          <cell r="B53" t="str">
            <v>INTERESES BANCARIOS PROYECTADOS, RECURSOS FEDERALES</v>
          </cell>
          <cell r="C53"/>
          <cell r="D53"/>
        </row>
        <row r="54">
          <cell r="A54">
            <v>536</v>
          </cell>
          <cell r="B54" t="str">
            <v>FONE Ramo 33</v>
          </cell>
          <cell r="C54"/>
          <cell r="D54"/>
        </row>
        <row r="55">
          <cell r="A55">
            <v>537</v>
          </cell>
          <cell r="B55" t="str">
            <v>FASSA Ramo 33</v>
          </cell>
          <cell r="C55"/>
          <cell r="D55"/>
        </row>
        <row r="56">
          <cell r="A56">
            <v>538</v>
          </cell>
          <cell r="B56" t="str">
            <v>FAIS/FISE Ramo 33</v>
          </cell>
          <cell r="C56"/>
          <cell r="D56"/>
        </row>
        <row r="57">
          <cell r="A57">
            <v>539</v>
          </cell>
          <cell r="B57" t="str">
            <v>FAIS/FISM Ramo 33</v>
          </cell>
          <cell r="C57"/>
          <cell r="D57"/>
        </row>
        <row r="58">
          <cell r="A58">
            <v>540</v>
          </cell>
          <cell r="B58" t="str">
            <v>FORTAMUN Ramo 33</v>
          </cell>
          <cell r="C58"/>
          <cell r="D58"/>
        </row>
        <row r="59">
          <cell r="A59">
            <v>541</v>
          </cell>
          <cell r="B59" t="str">
            <v>FAM/ASISTENCIA SOCIAL Ramo 33</v>
          </cell>
          <cell r="C59"/>
          <cell r="D59"/>
        </row>
        <row r="60">
          <cell r="A60">
            <v>542</v>
          </cell>
          <cell r="B60" t="str">
            <v>FAM/INFRAESTRUCTURA DE EDUCACIÓN BÁSICA Ramo 33</v>
          </cell>
          <cell r="C60"/>
          <cell r="D60"/>
        </row>
        <row r="61">
          <cell r="A61">
            <v>543</v>
          </cell>
          <cell r="B61" t="str">
            <v>FAM/EDUCACIÓN MEDIA SUPERIOR Y SUPERIOR Ramo 33</v>
          </cell>
          <cell r="C61"/>
          <cell r="D61"/>
        </row>
        <row r="62">
          <cell r="A62">
            <v>545</v>
          </cell>
          <cell r="B62" t="str">
            <v>FAETA/EDUCACIÓN TECNOLÓGICA ( CONALEP) Ramo 33</v>
          </cell>
          <cell r="C62"/>
          <cell r="D62"/>
        </row>
        <row r="63">
          <cell r="A63">
            <v>546</v>
          </cell>
          <cell r="B63" t="str">
            <v>FAETA/EDUCACIÓN ADULTOS (IEEA) Ramo 33</v>
          </cell>
          <cell r="C63"/>
          <cell r="D63"/>
        </row>
        <row r="64">
          <cell r="A64">
            <v>547</v>
          </cell>
          <cell r="B64" t="str">
            <v>FASP Ramo 33</v>
          </cell>
          <cell r="C64"/>
          <cell r="D64"/>
        </row>
        <row r="65">
          <cell r="A65">
            <v>548</v>
          </cell>
          <cell r="B65" t="str">
            <v>FAFEF Ramo 33</v>
          </cell>
          <cell r="C65"/>
          <cell r="D65"/>
        </row>
        <row r="66">
          <cell r="A66">
            <v>549</v>
          </cell>
          <cell r="B66" t="str">
            <v>SRIA. DE DES. AGRARIO TERRITORIAL Y URBANO (SEDATU) Ramo 15</v>
          </cell>
          <cell r="C66"/>
          <cell r="D66"/>
        </row>
        <row r="67">
          <cell r="A67">
            <v>561</v>
          </cell>
          <cell r="B67" t="str">
            <v>CULTURA FEDERAL Ramo 48</v>
          </cell>
          <cell r="C67"/>
          <cell r="D67"/>
        </row>
        <row r="68">
          <cell r="A68">
            <v>562</v>
          </cell>
          <cell r="B68" t="str">
            <v>UNIVERSIDAD AUTÓNOMA DE B.C.S. Ramo 11</v>
          </cell>
          <cell r="C68"/>
          <cell r="D68"/>
        </row>
        <row r="69">
          <cell r="A69">
            <v>563</v>
          </cell>
          <cell r="B69" t="str">
            <v>CONAGUA Ramo 16</v>
          </cell>
          <cell r="C69"/>
          <cell r="D69"/>
        </row>
        <row r="70">
          <cell r="A70">
            <v>564</v>
          </cell>
          <cell r="B70" t="str">
            <v>SECRETARÍA DE GOBERNACIÓN Ramo 04</v>
          </cell>
          <cell r="C70"/>
          <cell r="D70"/>
        </row>
        <row r="71">
          <cell r="A71">
            <v>565</v>
          </cell>
          <cell r="B71" t="str">
            <v>SECRETARÍA DE TURISMO Ramo 21</v>
          </cell>
          <cell r="C71"/>
          <cell r="D71"/>
        </row>
        <row r="72">
          <cell r="A72">
            <v>566</v>
          </cell>
          <cell r="B72" t="str">
            <v>PROFIS</v>
          </cell>
          <cell r="C72"/>
          <cell r="D72"/>
        </row>
        <row r="73">
          <cell r="A73">
            <v>567</v>
          </cell>
          <cell r="B73" t="str">
            <v>SECRETARÍA DE SEGURIDAD PÚBLICA</v>
          </cell>
          <cell r="C73"/>
          <cell r="D73"/>
        </row>
        <row r="74">
          <cell r="A74">
            <v>568</v>
          </cell>
          <cell r="B74" t="str">
            <v>COBACH Ramo 11</v>
          </cell>
          <cell r="C74"/>
          <cell r="D74"/>
        </row>
        <row r="75">
          <cell r="A75">
            <v>569</v>
          </cell>
          <cell r="B75" t="str">
            <v>FONDO PROPORCIONAL PESO A PESO</v>
          </cell>
          <cell r="C75"/>
          <cell r="D75"/>
        </row>
        <row r="76">
          <cell r="A76">
            <v>570</v>
          </cell>
          <cell r="B76" t="str">
            <v>CECYTE Ramo 11</v>
          </cell>
          <cell r="C76"/>
          <cell r="D76"/>
        </row>
        <row r="77">
          <cell r="A77">
            <v>571</v>
          </cell>
          <cell r="B77" t="str">
            <v>IMPLEMENTACIÓN DE LA REFORMA PENAL (SETEC)</v>
          </cell>
          <cell r="C77"/>
          <cell r="D77"/>
        </row>
        <row r="78">
          <cell r="A78">
            <v>572</v>
          </cell>
          <cell r="B78" t="str">
            <v>CONADE Ramo 11</v>
          </cell>
          <cell r="C78"/>
          <cell r="D78"/>
        </row>
        <row r="79">
          <cell r="A79">
            <v>573</v>
          </cell>
          <cell r="B79" t="str">
            <v>CONVENIOS Ramo 12</v>
          </cell>
          <cell r="C79"/>
          <cell r="D79"/>
        </row>
        <row r="80">
          <cell r="A80">
            <v>574</v>
          </cell>
          <cell r="B80" t="str">
            <v>SECRETARÍA DE ECONOMÍA Ramo 10</v>
          </cell>
          <cell r="C80"/>
          <cell r="D80"/>
        </row>
        <row r="81">
          <cell r="A81">
            <v>577</v>
          </cell>
          <cell r="B81" t="str">
            <v>SUBSIDIO SEGURIDAD PÚBLICA MUNICIPAL</v>
          </cell>
          <cell r="C81"/>
          <cell r="D81"/>
        </row>
        <row r="82">
          <cell r="A82">
            <v>578</v>
          </cell>
          <cell r="B82" t="str">
            <v>FIDEICOMISO PARA LA INFRAESTRUCTURA DE LOS ESTADOS Ramo 23</v>
          </cell>
          <cell r="C82"/>
          <cell r="D82"/>
        </row>
        <row r="83">
          <cell r="A83">
            <v>579</v>
          </cell>
          <cell r="B83" t="str">
            <v>APOYO FINANCIERO EXTRAORDINARIO UABCS Ramo 11</v>
          </cell>
          <cell r="C83"/>
          <cell r="D83"/>
        </row>
        <row r="84">
          <cell r="A84">
            <v>580</v>
          </cell>
          <cell r="B84" t="str">
            <v>APOYO FINANCIERO EXTRAORDINARIO ISIFE Ramo 11</v>
          </cell>
          <cell r="C84"/>
          <cell r="D84"/>
        </row>
        <row r="85">
          <cell r="A85">
            <v>581</v>
          </cell>
          <cell r="B85" t="str">
            <v>SUBSIDIO POLICÍA ESTATAL ACREDITABLE (SPA)</v>
          </cell>
          <cell r="C85"/>
          <cell r="D85"/>
        </row>
        <row r="86">
          <cell r="A86">
            <v>582</v>
          </cell>
          <cell r="B86" t="str">
            <v>PROASP PROG. DE ALCANCE NAL. EN MAT. DE SEG. PUB. Ramo 04</v>
          </cell>
          <cell r="C86"/>
          <cell r="D86"/>
        </row>
        <row r="87">
          <cell r="A87">
            <v>583</v>
          </cell>
          <cell r="B87" t="str">
            <v>INGRESOS EXTRAORDINARIOS</v>
          </cell>
          <cell r="C87"/>
          <cell r="D87"/>
        </row>
        <row r="88">
          <cell r="A88">
            <v>584</v>
          </cell>
          <cell r="B88" t="str">
            <v>INGRESOS DERIVADOS DEL 5 AL MILLAR (OBRA)</v>
          </cell>
          <cell r="C88"/>
          <cell r="D88"/>
        </row>
        <row r="89">
          <cell r="A89">
            <v>585</v>
          </cell>
          <cell r="B89" t="str">
            <v>INGRESOS EXT Ramo 23 ( Provisiones Salariales y Económicas )</v>
          </cell>
          <cell r="C89"/>
          <cell r="D89"/>
        </row>
        <row r="90">
          <cell r="A90">
            <v>586</v>
          </cell>
          <cell r="B90" t="str">
            <v>INGRESOS EXT Ramo 21 (TURISMO)</v>
          </cell>
          <cell r="C90"/>
          <cell r="D90"/>
        </row>
        <row r="91">
          <cell r="A91">
            <v>587</v>
          </cell>
          <cell r="B91" t="str">
            <v>INGRESOS EXT Ramo 11 (SEP)</v>
          </cell>
          <cell r="C91"/>
          <cell r="D91"/>
        </row>
        <row r="92">
          <cell r="A92">
            <v>588</v>
          </cell>
          <cell r="B92" t="str">
            <v>INGRESOS EXT Ramo 09 (SCT)</v>
          </cell>
          <cell r="C92"/>
          <cell r="D92"/>
        </row>
        <row r="93">
          <cell r="A93">
            <v>589</v>
          </cell>
          <cell r="B93" t="str">
            <v>INGRESOS EXT Ramo 16 (SEMARNAT)</v>
          </cell>
          <cell r="C93"/>
          <cell r="D93"/>
        </row>
        <row r="94">
          <cell r="A94">
            <v>590</v>
          </cell>
          <cell r="B94" t="str">
            <v>INGRESOS EXT FORTASEG Ramo 04 (GOBERNACIÓN)</v>
          </cell>
          <cell r="C94"/>
          <cell r="D94"/>
        </row>
        <row r="95">
          <cell r="A95">
            <v>591</v>
          </cell>
          <cell r="B95" t="str">
            <v>INGRESOS EXT Ramo 20 (BIENESTAR)</v>
          </cell>
          <cell r="C95"/>
          <cell r="D95"/>
        </row>
        <row r="96">
          <cell r="A96">
            <v>598</v>
          </cell>
          <cell r="B96" t="str">
            <v>REMANENTE FONE 2016</v>
          </cell>
          <cell r="C96"/>
          <cell r="D96"/>
        </row>
        <row r="97">
          <cell r="A97">
            <v>599</v>
          </cell>
          <cell r="B97" t="str">
            <v>REMANENTE FONE 2015</v>
          </cell>
          <cell r="C97"/>
          <cell r="D97"/>
        </row>
        <row r="98">
          <cell r="A98">
            <v>700</v>
          </cell>
          <cell r="B98" t="str">
            <v>OTROS RECURSOS</v>
          </cell>
          <cell r="C98"/>
          <cell r="D98"/>
        </row>
        <row r="99">
          <cell r="A99">
            <v>736</v>
          </cell>
          <cell r="B99" t="str">
            <v>RENDIMIENTOS FONE</v>
          </cell>
          <cell r="C99"/>
          <cell r="D99"/>
        </row>
        <row r="100">
          <cell r="A100">
            <v>737</v>
          </cell>
          <cell r="B100" t="str">
            <v>RENDIMIENTOS FAM</v>
          </cell>
          <cell r="C100"/>
          <cell r="D100"/>
        </row>
        <row r="101">
          <cell r="A101">
            <v>747</v>
          </cell>
          <cell r="B101" t="str">
            <v>RENDIMIENTOS FASP</v>
          </cell>
          <cell r="C101"/>
          <cell r="D101"/>
        </row>
        <row r="102">
          <cell r="A102">
            <v>783</v>
          </cell>
          <cell r="B102" t="str">
            <v>INGRESOS EXTRAORDINARIOS (OTROS)</v>
          </cell>
          <cell r="C102"/>
          <cell r="D102"/>
        </row>
      </sheetData>
      <sheetData sheetId="5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AS"/>
      <sheetName val="CAPITULO"/>
      <sheetName val="PARTIDA"/>
      <sheetName val="COG"/>
      <sheetName val="FF"/>
      <sheetName val="PROCED"/>
    </sheetNames>
    <sheetDataSet>
      <sheetData sheetId="0"/>
      <sheetData sheetId="1"/>
      <sheetData sheetId="2">
        <row r="2">
          <cell r="H2" t="str">
            <v>MATERIALES</v>
          </cell>
        </row>
        <row r="3">
          <cell r="H3" t="str">
            <v>SERVICIOS</v>
          </cell>
        </row>
        <row r="4">
          <cell r="H4" t="str">
            <v>BIENES</v>
          </cell>
        </row>
      </sheetData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AAS-INICIAL2024"/>
      <sheetName val="PAAS-ENE A JUN-2024"/>
      <sheetName val="CAPITULO"/>
      <sheetName val="PARTIDA"/>
      <sheetName val="COG"/>
      <sheetName val="FF"/>
      <sheetName val="PROCED"/>
    </sheetNames>
    <sheetDataSet>
      <sheetData sheetId="0"/>
      <sheetData sheetId="1"/>
      <sheetData sheetId="2"/>
      <sheetData sheetId="3">
        <row r="2">
          <cell r="H2" t="str">
            <v>MATERIALES</v>
          </cell>
        </row>
        <row r="3">
          <cell r="H3" t="str">
            <v>SERVICIOS</v>
          </cell>
        </row>
        <row r="4">
          <cell r="H4" t="str">
            <v>BIENES</v>
          </cell>
        </row>
      </sheetData>
      <sheetData sheetId="4">
        <row r="1">
          <cell r="A1" t="str">
            <v>CUENTA</v>
          </cell>
          <cell r="B1" t="str">
            <v>CONCEPTO</v>
          </cell>
          <cell r="C1" t="str">
            <v>AFECTABLE/ NO
AFECTABLE</v>
          </cell>
        </row>
        <row r="2">
          <cell r="A2">
            <v>210000</v>
          </cell>
          <cell r="B2" t="str">
            <v>MATERIALES DE ADMINISTRACIÓN, EMISIÓN DE DOCUMENTOS Y ARTÍCULO OFICIALES</v>
          </cell>
          <cell r="C2" t="str">
            <v>N</v>
          </cell>
        </row>
        <row r="3">
          <cell r="A3">
            <v>211000</v>
          </cell>
          <cell r="B3" t="str">
            <v>Materiales, útiles y equipos menores de oficina</v>
          </cell>
          <cell r="C3" t="str">
            <v>N</v>
          </cell>
        </row>
        <row r="4">
          <cell r="A4">
            <v>211001</v>
          </cell>
          <cell r="B4" t="str">
            <v>Material de oficina</v>
          </cell>
          <cell r="C4" t="str">
            <v>S</v>
          </cell>
        </row>
        <row r="5">
          <cell r="A5">
            <v>212000</v>
          </cell>
          <cell r="B5" t="str">
            <v>Materiales y útiles de impresión y reproducción</v>
          </cell>
          <cell r="C5" t="str">
            <v>N</v>
          </cell>
        </row>
        <row r="6">
          <cell r="A6">
            <v>212001</v>
          </cell>
          <cell r="B6" t="str">
            <v>Material y útiles de impresión</v>
          </cell>
          <cell r="C6" t="str">
            <v>S</v>
          </cell>
        </row>
        <row r="7">
          <cell r="A7">
            <v>213000</v>
          </cell>
          <cell r="B7" t="str">
            <v>Material estadístico y geográfico</v>
          </cell>
          <cell r="C7" t="str">
            <v>N</v>
          </cell>
        </row>
        <row r="8">
          <cell r="A8">
            <v>213001</v>
          </cell>
          <cell r="B8" t="str">
            <v>Material estadístico y geográfico</v>
          </cell>
          <cell r="C8" t="str">
            <v>S</v>
          </cell>
        </row>
        <row r="9">
          <cell r="A9">
            <v>214000</v>
          </cell>
          <cell r="B9" t="str">
            <v>Materiales, útiles y equipos menores de tecnologías de la información y comunicaciones</v>
          </cell>
          <cell r="C9" t="str">
            <v>N</v>
          </cell>
        </row>
        <row r="10">
          <cell r="A10">
            <v>214001</v>
          </cell>
          <cell r="B10" t="str">
            <v>Materiales, útiles y equipos menores de tecnologías de la información y comunicaciones</v>
          </cell>
          <cell r="C10" t="str">
            <v>S</v>
          </cell>
        </row>
        <row r="11">
          <cell r="A11">
            <v>215000</v>
          </cell>
          <cell r="B11" t="str">
            <v>Material impreso e información digital</v>
          </cell>
          <cell r="C11" t="str">
            <v>N</v>
          </cell>
        </row>
        <row r="12">
          <cell r="A12">
            <v>215001</v>
          </cell>
          <cell r="B12" t="str">
            <v>Material didáctico</v>
          </cell>
          <cell r="C12" t="str">
            <v>S</v>
          </cell>
        </row>
        <row r="13">
          <cell r="A13">
            <v>215002</v>
          </cell>
          <cell r="B13" t="str">
            <v>Suscripciones a Periódicos, Revistas y Publicaciones Especializadas</v>
          </cell>
          <cell r="C13" t="str">
            <v>S</v>
          </cell>
        </row>
        <row r="14">
          <cell r="A14">
            <v>215003</v>
          </cell>
          <cell r="B14" t="str">
            <v>Material impreso e información digital</v>
          </cell>
          <cell r="C14" t="str">
            <v>S</v>
          </cell>
        </row>
        <row r="15">
          <cell r="A15">
            <v>216000</v>
          </cell>
          <cell r="B15" t="str">
            <v>Material de limpieza</v>
          </cell>
          <cell r="C15" t="str">
            <v>N</v>
          </cell>
        </row>
        <row r="16">
          <cell r="A16">
            <v>216001</v>
          </cell>
          <cell r="B16" t="str">
            <v>Material de limpieza</v>
          </cell>
          <cell r="C16" t="str">
            <v>S</v>
          </cell>
        </row>
        <row r="17">
          <cell r="A17">
            <v>217000</v>
          </cell>
          <cell r="B17" t="str">
            <v>Materiales y útiles de enseñanza</v>
          </cell>
          <cell r="C17" t="str">
            <v>N</v>
          </cell>
        </row>
        <row r="18">
          <cell r="A18">
            <v>217001</v>
          </cell>
          <cell r="B18" t="str">
            <v>Materiales y útiles de enseñanza</v>
          </cell>
          <cell r="C18" t="str">
            <v>S</v>
          </cell>
        </row>
        <row r="19">
          <cell r="A19">
            <v>218000</v>
          </cell>
          <cell r="B19" t="str">
            <v>Materiales para el registro e identificación de bienes y personas</v>
          </cell>
          <cell r="C19" t="str">
            <v>N</v>
          </cell>
        </row>
        <row r="20">
          <cell r="A20">
            <v>218001</v>
          </cell>
          <cell r="B20" t="str">
            <v>Materiales para el registro e identificación de bienes y personas</v>
          </cell>
          <cell r="C20" t="str">
            <v>S</v>
          </cell>
        </row>
        <row r="21">
          <cell r="A21">
            <v>218002</v>
          </cell>
          <cell r="B21" t="str">
            <v>Placas, Engomados, Calcomanías y Hologramas</v>
          </cell>
          <cell r="C21" t="str">
            <v>S</v>
          </cell>
        </row>
        <row r="22">
          <cell r="A22">
            <v>218003</v>
          </cell>
          <cell r="B22" t="str">
            <v>Emisión de Licencias de Conducir</v>
          </cell>
          <cell r="C22" t="str">
            <v>S</v>
          </cell>
        </row>
        <row r="23">
          <cell r="A23">
            <v>218004</v>
          </cell>
          <cell r="B23" t="str">
            <v>Emisión de Formatos Únicos de Control Vehicular</v>
          </cell>
          <cell r="C23" t="str">
            <v>S</v>
          </cell>
        </row>
        <row r="24">
          <cell r="A24">
            <v>220000</v>
          </cell>
          <cell r="B24" t="str">
            <v>ALIMENTOS Y UTENSILIOS</v>
          </cell>
          <cell r="C24" t="str">
            <v>N</v>
          </cell>
        </row>
        <row r="25">
          <cell r="A25">
            <v>221000</v>
          </cell>
          <cell r="B25" t="str">
            <v>Productos alimenticios para personas</v>
          </cell>
          <cell r="C25" t="str">
            <v>N</v>
          </cell>
        </row>
        <row r="26">
          <cell r="A26">
            <v>221001</v>
          </cell>
          <cell r="B26" t="str">
            <v>Alimentación de personas</v>
          </cell>
          <cell r="C26" t="str">
            <v>S</v>
          </cell>
        </row>
        <row r="27">
          <cell r="A27">
            <v>222000</v>
          </cell>
          <cell r="B27" t="str">
            <v>Productos alimenticios para animales</v>
          </cell>
          <cell r="C27" t="str">
            <v>N</v>
          </cell>
        </row>
        <row r="28">
          <cell r="A28">
            <v>222001</v>
          </cell>
          <cell r="B28" t="str">
            <v>Alimentación de animales</v>
          </cell>
          <cell r="C28" t="str">
            <v>S</v>
          </cell>
        </row>
        <row r="29">
          <cell r="A29">
            <v>223000</v>
          </cell>
          <cell r="B29" t="str">
            <v>Utensilios para el servicio de alimentación</v>
          </cell>
          <cell r="C29" t="str">
            <v>N</v>
          </cell>
        </row>
        <row r="30">
          <cell r="A30">
            <v>223001</v>
          </cell>
          <cell r="B30" t="str">
            <v>Utensilios para el servicio de alimentación</v>
          </cell>
          <cell r="C30" t="str">
            <v>S</v>
          </cell>
        </row>
        <row r="31">
          <cell r="A31">
            <v>230000</v>
          </cell>
          <cell r="B31" t="str">
            <v>MATERIAS PRIMAS Y MATERIALES DE PRODUCCIÓN Y COMERCIALIZACIÓN</v>
          </cell>
          <cell r="C31" t="str">
            <v>N</v>
          </cell>
        </row>
        <row r="32">
          <cell r="A32">
            <v>231000</v>
          </cell>
          <cell r="B32" t="str">
            <v>Productos alimenticios, agropecuarios y forestales adquiridos como materia prima</v>
          </cell>
          <cell r="C32" t="str">
            <v>N</v>
          </cell>
        </row>
        <row r="33">
          <cell r="A33">
            <v>231001</v>
          </cell>
          <cell r="B33" t="str">
            <v>Materias primas para producción</v>
          </cell>
          <cell r="C33" t="str">
            <v>S</v>
          </cell>
        </row>
        <row r="34">
          <cell r="A34">
            <v>232000</v>
          </cell>
          <cell r="B34" t="str">
            <v>Insumos textiles adquiridos como materia prima</v>
          </cell>
          <cell r="C34" t="str">
            <v>N</v>
          </cell>
        </row>
        <row r="35">
          <cell r="A35">
            <v>232001</v>
          </cell>
          <cell r="B35" t="str">
            <v>Insumos textiles adquiridos como materia prima</v>
          </cell>
          <cell r="C35" t="str">
            <v>S</v>
          </cell>
        </row>
        <row r="36">
          <cell r="A36">
            <v>233000</v>
          </cell>
          <cell r="B36" t="str">
            <v>Productos de papel, cartón e impresos adquiridos como materia prima</v>
          </cell>
          <cell r="C36" t="str">
            <v>N</v>
          </cell>
        </row>
        <row r="37">
          <cell r="A37">
            <v>233001</v>
          </cell>
          <cell r="B37" t="str">
            <v>Productos de papel, cartón e impresos adquiridos como materia prima</v>
          </cell>
          <cell r="C37" t="str">
            <v>S</v>
          </cell>
        </row>
        <row r="38">
          <cell r="A38">
            <v>234000</v>
          </cell>
          <cell r="B38" t="str">
            <v>Combustibles, lubricantes, aditivos, carbón y sus derivados adquiridos como materia prima</v>
          </cell>
          <cell r="C38" t="str">
            <v>N</v>
          </cell>
        </row>
        <row r="39">
          <cell r="A39">
            <v>234001</v>
          </cell>
          <cell r="B39" t="str">
            <v>Combustibles, lubricantes, aditivos, carbón y sus derivados adquiridos como materia prima</v>
          </cell>
          <cell r="C39" t="str">
            <v>S</v>
          </cell>
        </row>
        <row r="40">
          <cell r="A40">
            <v>235000</v>
          </cell>
          <cell r="B40" t="str">
            <v>Productos químicos, farmacéuticos y de laboratorio adquiridos como materia prima</v>
          </cell>
          <cell r="C40" t="str">
            <v>N</v>
          </cell>
        </row>
        <row r="41">
          <cell r="A41">
            <v>235001</v>
          </cell>
          <cell r="B41" t="str">
            <v>Productos químicos, farmacéuticos y de laboratorio adquiridos como materia prima</v>
          </cell>
          <cell r="C41" t="str">
            <v>S</v>
          </cell>
        </row>
        <row r="42">
          <cell r="A42">
            <v>236000</v>
          </cell>
          <cell r="B42" t="str">
            <v>Productos metálicos y a base de minerales no metálicos adquiridos como materia prima</v>
          </cell>
          <cell r="C42" t="str">
            <v>N</v>
          </cell>
        </row>
        <row r="43">
          <cell r="A43">
            <v>236001</v>
          </cell>
          <cell r="B43" t="str">
            <v>Productos metálicos y a base de minerales no metálicos adquiridos como materia prima</v>
          </cell>
          <cell r="C43" t="str">
            <v>S</v>
          </cell>
        </row>
        <row r="44">
          <cell r="A44">
            <v>237000</v>
          </cell>
          <cell r="B44" t="str">
            <v>Productos de cuero, piel, plástico y hule adquiridos como materia prima</v>
          </cell>
          <cell r="C44" t="str">
            <v>N</v>
          </cell>
        </row>
        <row r="45">
          <cell r="A45">
            <v>237001</v>
          </cell>
          <cell r="B45" t="str">
            <v>Productos de cuero, piel, plástico y hule adquiridos como materia prima</v>
          </cell>
          <cell r="C45" t="str">
            <v>S</v>
          </cell>
        </row>
        <row r="46">
          <cell r="A46">
            <v>238000</v>
          </cell>
          <cell r="B46" t="str">
            <v>Mercancías adquiridas para su comercialización</v>
          </cell>
          <cell r="C46" t="str">
            <v>N</v>
          </cell>
        </row>
        <row r="47">
          <cell r="A47">
            <v>238001</v>
          </cell>
          <cell r="B47" t="str">
            <v>Mercancías adquiridas para su comercialización</v>
          </cell>
          <cell r="C47" t="str">
            <v>S</v>
          </cell>
        </row>
        <row r="48">
          <cell r="A48">
            <v>240000</v>
          </cell>
          <cell r="B48" t="str">
            <v>MATERIALES Y ARTÍCULOS DE CONSTRUCCIÓN Y DE REPARACIÓN</v>
          </cell>
          <cell r="C48" t="str">
            <v>N</v>
          </cell>
        </row>
        <row r="49">
          <cell r="A49">
            <v>241000</v>
          </cell>
          <cell r="B49" t="str">
            <v>Productos minerales no metálicos</v>
          </cell>
          <cell r="C49" t="str">
            <v>N</v>
          </cell>
        </row>
        <row r="50">
          <cell r="A50">
            <v>241001</v>
          </cell>
          <cell r="B50" t="str">
            <v>Productos minerales no metálicos</v>
          </cell>
          <cell r="C50" t="str">
            <v>S</v>
          </cell>
        </row>
        <row r="51">
          <cell r="A51">
            <v>242000</v>
          </cell>
          <cell r="B51" t="str">
            <v>Cemento y productos de concreto</v>
          </cell>
          <cell r="C51" t="str">
            <v>N</v>
          </cell>
        </row>
        <row r="52">
          <cell r="A52">
            <v>242001</v>
          </cell>
          <cell r="B52" t="str">
            <v>Cemento y productos de concreto</v>
          </cell>
          <cell r="C52" t="str">
            <v>S</v>
          </cell>
        </row>
        <row r="53">
          <cell r="A53">
            <v>243000</v>
          </cell>
          <cell r="B53" t="str">
            <v>Cal, yeso y productos de yeso</v>
          </cell>
          <cell r="C53" t="str">
            <v>N</v>
          </cell>
        </row>
        <row r="54">
          <cell r="A54">
            <v>243001</v>
          </cell>
          <cell r="B54" t="str">
            <v>Cal, yeso y productos de yeso</v>
          </cell>
          <cell r="C54" t="str">
            <v>S</v>
          </cell>
        </row>
        <row r="55">
          <cell r="A55">
            <v>244000</v>
          </cell>
          <cell r="B55" t="str">
            <v>Madera y productos de madera</v>
          </cell>
          <cell r="C55" t="str">
            <v>N</v>
          </cell>
        </row>
        <row r="56">
          <cell r="A56">
            <v>244001</v>
          </cell>
          <cell r="B56" t="str">
            <v>Madera y productos de madera</v>
          </cell>
          <cell r="C56" t="str">
            <v>S</v>
          </cell>
        </row>
        <row r="57">
          <cell r="A57">
            <v>245000</v>
          </cell>
          <cell r="B57" t="str">
            <v>Vidrio y productos de vidrio</v>
          </cell>
          <cell r="C57" t="str">
            <v>N</v>
          </cell>
        </row>
        <row r="58">
          <cell r="A58">
            <v>245001</v>
          </cell>
          <cell r="B58" t="str">
            <v>Vidrio y productos de vidrio</v>
          </cell>
          <cell r="C58" t="str">
            <v>S</v>
          </cell>
        </row>
        <row r="59">
          <cell r="A59">
            <v>246000</v>
          </cell>
          <cell r="B59" t="str">
            <v>Material eléctrico y electrónico</v>
          </cell>
          <cell r="C59" t="str">
            <v>N</v>
          </cell>
        </row>
        <row r="60">
          <cell r="A60">
            <v>246001</v>
          </cell>
          <cell r="B60" t="str">
            <v>Material eléctrico</v>
          </cell>
          <cell r="C60" t="str">
            <v>S</v>
          </cell>
        </row>
        <row r="61">
          <cell r="A61">
            <v>246002</v>
          </cell>
          <cell r="B61" t="str">
            <v>Material electrónico</v>
          </cell>
          <cell r="C61" t="str">
            <v>S</v>
          </cell>
        </row>
        <row r="62">
          <cell r="A62">
            <v>247000</v>
          </cell>
          <cell r="B62" t="str">
            <v>Artículos metálicos para la construcción</v>
          </cell>
          <cell r="C62" t="str">
            <v>N</v>
          </cell>
        </row>
        <row r="63">
          <cell r="A63">
            <v>247001</v>
          </cell>
          <cell r="B63" t="str">
            <v>Artículos metálicos para la construcción</v>
          </cell>
          <cell r="C63" t="str">
            <v>S</v>
          </cell>
        </row>
        <row r="64">
          <cell r="A64">
            <v>248000</v>
          </cell>
          <cell r="B64" t="str">
            <v>Materiales complementarios</v>
          </cell>
          <cell r="C64" t="str">
            <v>N</v>
          </cell>
        </row>
        <row r="65">
          <cell r="A65">
            <v>248001</v>
          </cell>
          <cell r="B65" t="str">
            <v>Materiales complementarios</v>
          </cell>
          <cell r="C65" t="str">
            <v>S</v>
          </cell>
        </row>
        <row r="66">
          <cell r="A66">
            <v>249000</v>
          </cell>
          <cell r="B66" t="str">
            <v>Otros materiales y artículos de construcción y reparación</v>
          </cell>
          <cell r="C66" t="str">
            <v>N</v>
          </cell>
        </row>
        <row r="67">
          <cell r="A67">
            <v>249001</v>
          </cell>
          <cell r="B67" t="str">
            <v>Materiales de construcción y complementarios</v>
          </cell>
          <cell r="C67" t="str">
            <v>S</v>
          </cell>
        </row>
        <row r="68">
          <cell r="A68">
            <v>249002</v>
          </cell>
          <cell r="B68" t="str">
            <v>Otros materiales de construcción y reparación</v>
          </cell>
          <cell r="C68" t="str">
            <v>S</v>
          </cell>
        </row>
        <row r="69">
          <cell r="A69">
            <v>250000</v>
          </cell>
          <cell r="B69" t="str">
            <v>PRODUCTOS QUÍMICOS, FARMACÉUTICOS Y DE LABORATORIO</v>
          </cell>
          <cell r="C69" t="str">
            <v>N</v>
          </cell>
        </row>
        <row r="70">
          <cell r="A70">
            <v>251000</v>
          </cell>
          <cell r="B70" t="str">
            <v>Productos químicos básicos</v>
          </cell>
          <cell r="C70" t="str">
            <v>N</v>
          </cell>
        </row>
        <row r="71">
          <cell r="A71">
            <v>251001</v>
          </cell>
          <cell r="B71" t="str">
            <v>Gas Refrigerante</v>
          </cell>
          <cell r="C71" t="str">
            <v>S</v>
          </cell>
        </row>
        <row r="72">
          <cell r="A72">
            <v>252000</v>
          </cell>
          <cell r="B72" t="str">
            <v>Fertilizantes, pesticidas y otros agroquímicos</v>
          </cell>
          <cell r="C72" t="str">
            <v>N</v>
          </cell>
        </row>
        <row r="73">
          <cell r="A73">
            <v>252001</v>
          </cell>
          <cell r="B73" t="str">
            <v>Fertilizantes, pesticidas y otros agroquímicos</v>
          </cell>
          <cell r="C73" t="str">
            <v>S</v>
          </cell>
        </row>
        <row r="74">
          <cell r="A74">
            <v>253000</v>
          </cell>
          <cell r="B74" t="str">
            <v>Medicinas y productos químicos, farmacéuticos</v>
          </cell>
          <cell r="C74" t="str">
            <v>N</v>
          </cell>
        </row>
        <row r="75">
          <cell r="A75">
            <v>253001</v>
          </cell>
          <cell r="B75" t="str">
            <v>Material y productos químicos, farmacéuticos</v>
          </cell>
          <cell r="C75" t="str">
            <v>S</v>
          </cell>
        </row>
        <row r="76">
          <cell r="A76">
            <v>254000</v>
          </cell>
          <cell r="B76" t="str">
            <v>Materiales, accesorios y suministros médicos</v>
          </cell>
          <cell r="C76" t="str">
            <v>N</v>
          </cell>
        </row>
        <row r="77">
          <cell r="A77">
            <v>254001</v>
          </cell>
          <cell r="B77" t="str">
            <v>Materiales, accesorios y suministros médicos</v>
          </cell>
          <cell r="C77" t="str">
            <v>S</v>
          </cell>
        </row>
        <row r="78">
          <cell r="A78">
            <v>255000</v>
          </cell>
          <cell r="B78" t="str">
            <v>Materiales, accesorios y suministros de laboratorio</v>
          </cell>
          <cell r="C78" t="str">
            <v>N</v>
          </cell>
        </row>
        <row r="79">
          <cell r="A79">
            <v>255001</v>
          </cell>
          <cell r="B79" t="str">
            <v>Materiales, accesorios y suministros de laboratorio</v>
          </cell>
          <cell r="C79" t="str">
            <v>S</v>
          </cell>
        </row>
        <row r="80">
          <cell r="A80">
            <v>256000</v>
          </cell>
          <cell r="B80" t="str">
            <v>Fibras sintéticas, hules, plásticos y derivados</v>
          </cell>
          <cell r="C80" t="str">
            <v>N</v>
          </cell>
        </row>
        <row r="81">
          <cell r="A81">
            <v>256001</v>
          </cell>
          <cell r="B81" t="str">
            <v>Fibras sintéticas, hules, plásticos y derivados</v>
          </cell>
          <cell r="C81" t="str">
            <v>S</v>
          </cell>
        </row>
        <row r="82">
          <cell r="A82">
            <v>259000</v>
          </cell>
          <cell r="B82" t="str">
            <v>Otros productos químicos</v>
          </cell>
          <cell r="C82" t="str">
            <v>N</v>
          </cell>
        </row>
        <row r="83">
          <cell r="A83">
            <v>259001</v>
          </cell>
          <cell r="B83" t="str">
            <v>Otros productos químicos</v>
          </cell>
          <cell r="C83" t="str">
            <v>S</v>
          </cell>
        </row>
        <row r="84">
          <cell r="A84">
            <v>260000</v>
          </cell>
          <cell r="B84" t="str">
            <v>COMBUSTIBLES, LUBRICANTES Y ADITIVOS</v>
          </cell>
          <cell r="C84" t="str">
            <v>N</v>
          </cell>
        </row>
        <row r="85">
          <cell r="A85">
            <v>261000</v>
          </cell>
          <cell r="B85" t="str">
            <v>Combustibles, lubricantes y aditivos</v>
          </cell>
          <cell r="C85" t="str">
            <v>N</v>
          </cell>
        </row>
        <row r="86">
          <cell r="A86">
            <v>261001</v>
          </cell>
          <cell r="B86" t="str">
            <v>Combustibles</v>
          </cell>
          <cell r="C86" t="str">
            <v>S</v>
          </cell>
        </row>
        <row r="87">
          <cell r="A87">
            <v>261002</v>
          </cell>
          <cell r="B87" t="str">
            <v>Lubricantes y aditivos</v>
          </cell>
          <cell r="C87" t="str">
            <v>S</v>
          </cell>
        </row>
        <row r="88">
          <cell r="A88">
            <v>262000</v>
          </cell>
          <cell r="B88" t="str">
            <v>Carbón y sus derivados</v>
          </cell>
          <cell r="C88" t="str">
            <v>N</v>
          </cell>
        </row>
        <row r="89">
          <cell r="A89">
            <v>262001</v>
          </cell>
          <cell r="B89" t="str">
            <v>Carbón y sus derivados</v>
          </cell>
          <cell r="C89" t="str">
            <v>S</v>
          </cell>
        </row>
        <row r="90">
          <cell r="A90">
            <v>270000</v>
          </cell>
          <cell r="B90" t="str">
            <v>VESTUARIO, BLANCOS, PRENDAS DE PROTECCIÓN Y ARTÍCULOS DEPORTIVOS</v>
          </cell>
          <cell r="C90" t="str">
            <v>N</v>
          </cell>
        </row>
        <row r="91">
          <cell r="A91">
            <v>271000</v>
          </cell>
          <cell r="B91" t="str">
            <v>Vestuario y uniformes</v>
          </cell>
          <cell r="C91" t="str">
            <v>N</v>
          </cell>
        </row>
        <row r="92">
          <cell r="A92">
            <v>271001</v>
          </cell>
          <cell r="B92" t="str">
            <v>Ropa, vestuario y equipo</v>
          </cell>
          <cell r="C92" t="str">
            <v>S</v>
          </cell>
        </row>
        <row r="93">
          <cell r="A93">
            <v>272000</v>
          </cell>
          <cell r="B93" t="str">
            <v>Prendas de seguridad y protección personal</v>
          </cell>
          <cell r="C93" t="str">
            <v>N</v>
          </cell>
        </row>
        <row r="94">
          <cell r="A94">
            <v>272001</v>
          </cell>
          <cell r="B94" t="str">
            <v>Materiales explosivos y de seguridad pública</v>
          </cell>
          <cell r="C94" t="str">
            <v>S</v>
          </cell>
        </row>
        <row r="95">
          <cell r="A95">
            <v>272002</v>
          </cell>
          <cell r="B95" t="str">
            <v>Prendas de seguridad y protección personal</v>
          </cell>
          <cell r="C95" t="str">
            <v>S</v>
          </cell>
        </row>
        <row r="96">
          <cell r="A96">
            <v>273000</v>
          </cell>
          <cell r="B96" t="str">
            <v>Artículos deportivos</v>
          </cell>
          <cell r="C96" t="str">
            <v>N</v>
          </cell>
        </row>
        <row r="97">
          <cell r="A97">
            <v>273001</v>
          </cell>
          <cell r="B97" t="str">
            <v>Artículos deportivos</v>
          </cell>
          <cell r="C97" t="str">
            <v>S</v>
          </cell>
        </row>
        <row r="98">
          <cell r="A98">
            <v>274000</v>
          </cell>
          <cell r="B98" t="str">
            <v>Productos textiles</v>
          </cell>
          <cell r="C98" t="str">
            <v>N</v>
          </cell>
        </row>
        <row r="99">
          <cell r="A99">
            <v>274001</v>
          </cell>
          <cell r="B99" t="str">
            <v>Productos textiles</v>
          </cell>
          <cell r="C99" t="str">
            <v>S</v>
          </cell>
        </row>
        <row r="100">
          <cell r="A100">
            <v>275000</v>
          </cell>
          <cell r="B100" t="str">
            <v>Blancos y otros productos textiles, excepto prendas de vestir</v>
          </cell>
          <cell r="C100" t="str">
            <v>N</v>
          </cell>
        </row>
        <row r="101">
          <cell r="A101">
            <v>275001</v>
          </cell>
          <cell r="B101" t="str">
            <v>Blancos y otros productos textiles, excepto prendas de vestir</v>
          </cell>
          <cell r="C101" t="str">
            <v>S</v>
          </cell>
        </row>
        <row r="102">
          <cell r="A102">
            <v>280000</v>
          </cell>
          <cell r="B102" t="str">
            <v>MATERIALES Y SUMINISTROS PARA SEGURIDAD</v>
          </cell>
          <cell r="C102" t="str">
            <v>N</v>
          </cell>
        </row>
        <row r="103">
          <cell r="A103">
            <v>281000</v>
          </cell>
          <cell r="B103" t="str">
            <v>Sustancias y materiales explosivos</v>
          </cell>
          <cell r="C103" t="str">
            <v>N</v>
          </cell>
        </row>
        <row r="104">
          <cell r="A104">
            <v>281001</v>
          </cell>
          <cell r="B104" t="str">
            <v>Sustancias y materiales explosivos</v>
          </cell>
          <cell r="C104" t="str">
            <v>S</v>
          </cell>
        </row>
        <row r="105">
          <cell r="A105">
            <v>282000</v>
          </cell>
          <cell r="B105" t="str">
            <v>Materiales de seguridad pública</v>
          </cell>
          <cell r="C105" t="str">
            <v>N</v>
          </cell>
        </row>
        <row r="106">
          <cell r="A106">
            <v>282001</v>
          </cell>
          <cell r="B106" t="str">
            <v>Materiales de seguridad pública</v>
          </cell>
          <cell r="C106" t="str">
            <v>S</v>
          </cell>
        </row>
        <row r="107">
          <cell r="A107">
            <v>283000</v>
          </cell>
          <cell r="B107" t="str">
            <v>Prendas de protección para seguridad pública y nacional</v>
          </cell>
          <cell r="C107" t="str">
            <v>N</v>
          </cell>
        </row>
        <row r="108">
          <cell r="A108">
            <v>283001</v>
          </cell>
          <cell r="B108" t="str">
            <v>Prendas de protección para seguridad pública</v>
          </cell>
          <cell r="C108" t="str">
            <v>S</v>
          </cell>
        </row>
        <row r="109">
          <cell r="A109">
            <v>290000</v>
          </cell>
          <cell r="B109" t="str">
            <v>HERRAMIENTAS, REFACCIONES Y ACCESORIOS MENORES</v>
          </cell>
          <cell r="C109" t="str">
            <v>N</v>
          </cell>
        </row>
        <row r="110">
          <cell r="A110">
            <v>291000</v>
          </cell>
          <cell r="B110" t="str">
            <v>Herramientas menores</v>
          </cell>
          <cell r="C110" t="str">
            <v>N</v>
          </cell>
        </row>
        <row r="111">
          <cell r="A111">
            <v>291001</v>
          </cell>
          <cell r="B111" t="str">
            <v>Herramientas Auxiliares de Trabajo</v>
          </cell>
          <cell r="C111" t="str">
            <v>S</v>
          </cell>
        </row>
        <row r="112">
          <cell r="A112">
            <v>292000</v>
          </cell>
          <cell r="B112" t="str">
            <v>Refacciones y accesorios menores de edificios</v>
          </cell>
          <cell r="C112" t="str">
            <v>N</v>
          </cell>
        </row>
        <row r="113">
          <cell r="A113">
            <v>292001</v>
          </cell>
          <cell r="B113" t="str">
            <v>Refacciones y accesorios menores de edificios (candados, cerraduras, chapas, llaves)</v>
          </cell>
          <cell r="C113" t="str">
            <v>S</v>
          </cell>
        </row>
        <row r="114">
          <cell r="A114">
            <v>293000</v>
          </cell>
          <cell r="B114" t="str">
            <v>Refacciones y accesorios menores de mobiliario y equipo de administración, educacional y recreativo</v>
          </cell>
          <cell r="C114" t="str">
            <v>N</v>
          </cell>
        </row>
        <row r="115">
          <cell r="A115">
            <v>293001</v>
          </cell>
          <cell r="B115" t="str">
            <v>Refacciones y accesorios menores de mobiliario y equipo de administración, educacional y recreativo</v>
          </cell>
          <cell r="C115" t="str">
            <v>S</v>
          </cell>
        </row>
        <row r="116">
          <cell r="A116">
            <v>294000</v>
          </cell>
          <cell r="B116" t="str">
            <v>Refacciones y accesorios menores de equipo de cómputo y tecnologías de la información</v>
          </cell>
          <cell r="C116" t="str">
            <v>N</v>
          </cell>
        </row>
        <row r="117">
          <cell r="A117">
            <v>294001</v>
          </cell>
          <cell r="B117" t="str">
            <v>Dispositivos Internos y Externos de Equipo de Computo</v>
          </cell>
          <cell r="C117" t="str">
            <v>S</v>
          </cell>
        </row>
        <row r="118">
          <cell r="A118">
            <v>294002</v>
          </cell>
          <cell r="B118" t="str">
            <v>Refacciones y Accesorios Menores de Equipo de Computo</v>
          </cell>
          <cell r="C118" t="str">
            <v>S</v>
          </cell>
        </row>
        <row r="119">
          <cell r="A119">
            <v>295000</v>
          </cell>
          <cell r="B119" t="str">
            <v>Refacciones y accesorios menores de equipo e instrumental médico y de laboratorio</v>
          </cell>
          <cell r="C119" t="str">
            <v>N</v>
          </cell>
        </row>
        <row r="120">
          <cell r="A120">
            <v>295001</v>
          </cell>
          <cell r="B120" t="str">
            <v>Refacciones y accesorios menores de equipo e instrumental médico y de laboratorio</v>
          </cell>
          <cell r="C120" t="str">
            <v>S</v>
          </cell>
        </row>
        <row r="121">
          <cell r="A121">
            <v>296000</v>
          </cell>
          <cell r="B121" t="str">
            <v>Refacciones y accesorios menores de equipo de transporte</v>
          </cell>
          <cell r="C121" t="str">
            <v>N</v>
          </cell>
        </row>
        <row r="122">
          <cell r="A122">
            <v>296001</v>
          </cell>
          <cell r="B122" t="str">
            <v>Herramientas, refacciones y accesorios</v>
          </cell>
          <cell r="C122" t="str">
            <v>S</v>
          </cell>
        </row>
        <row r="123">
          <cell r="A123">
            <v>297000</v>
          </cell>
          <cell r="B123" t="str">
            <v>Refacciones y accesorios menores de equipo de defensa y seguridad</v>
          </cell>
          <cell r="C123" t="str">
            <v>N</v>
          </cell>
        </row>
        <row r="124">
          <cell r="A124">
            <v>297001</v>
          </cell>
          <cell r="B124" t="str">
            <v>Refacciones y accesorios menores de equipo de defensa y seguridad</v>
          </cell>
          <cell r="C124" t="str">
            <v>S</v>
          </cell>
        </row>
        <row r="125">
          <cell r="A125">
            <v>298000</v>
          </cell>
          <cell r="B125" t="str">
            <v>Refacciones y accesorios menores de maquinaria y otros equipos</v>
          </cell>
          <cell r="C125" t="str">
            <v>N</v>
          </cell>
        </row>
        <row r="126">
          <cell r="A126">
            <v>298001</v>
          </cell>
          <cell r="B126" t="str">
            <v>Refacciones y accesorios menores de maquinaria y otros equipos</v>
          </cell>
          <cell r="C126" t="str">
            <v>S</v>
          </cell>
        </row>
        <row r="127">
          <cell r="A127">
            <v>299000</v>
          </cell>
          <cell r="B127" t="str">
            <v>Refacciones y accesorios menores otros bienes muebles</v>
          </cell>
          <cell r="C127" t="str">
            <v>N</v>
          </cell>
        </row>
        <row r="128">
          <cell r="A128">
            <v>299001</v>
          </cell>
          <cell r="B128" t="str">
            <v>Refacciones y accesorios menores otros bienes muebles</v>
          </cell>
          <cell r="C128" t="str">
            <v>S</v>
          </cell>
        </row>
        <row r="129">
          <cell r="A129">
            <v>300000</v>
          </cell>
          <cell r="B129" t="str">
            <v>SERVICIOS GENERALES</v>
          </cell>
          <cell r="C129" t="str">
            <v>N</v>
          </cell>
        </row>
        <row r="130">
          <cell r="A130">
            <v>310000</v>
          </cell>
          <cell r="B130" t="str">
            <v>SERVICIOS BÁSICOS</v>
          </cell>
          <cell r="C130" t="str">
            <v>N</v>
          </cell>
        </row>
        <row r="131">
          <cell r="A131">
            <v>311000</v>
          </cell>
          <cell r="B131" t="str">
            <v>Energía eléctrica</v>
          </cell>
          <cell r="C131" t="str">
            <v>N</v>
          </cell>
        </row>
        <row r="132">
          <cell r="A132">
            <v>311001</v>
          </cell>
          <cell r="B132" t="str">
            <v>Servicio de energía eléctrica</v>
          </cell>
          <cell r="C132" t="str">
            <v>S</v>
          </cell>
        </row>
        <row r="133">
          <cell r="A133">
            <v>311002</v>
          </cell>
          <cell r="B133" t="str">
            <v>Contratación del servicio de energía eléctrica</v>
          </cell>
          <cell r="C133" t="str">
            <v>S</v>
          </cell>
        </row>
        <row r="134">
          <cell r="A134">
            <v>312000</v>
          </cell>
          <cell r="B134" t="str">
            <v>Gas</v>
          </cell>
          <cell r="C134" t="str">
            <v>N</v>
          </cell>
        </row>
        <row r="135">
          <cell r="A135">
            <v>312001</v>
          </cell>
          <cell r="B135" t="str">
            <v>Servicio de Gas L.P.</v>
          </cell>
          <cell r="C135" t="str">
            <v>S</v>
          </cell>
        </row>
        <row r="136">
          <cell r="A136">
            <v>313000</v>
          </cell>
          <cell r="B136" t="str">
            <v>Agua</v>
          </cell>
          <cell r="C136" t="str">
            <v>N</v>
          </cell>
        </row>
        <row r="137">
          <cell r="A137">
            <v>313001</v>
          </cell>
          <cell r="B137" t="str">
            <v>Servicio de agua potable</v>
          </cell>
          <cell r="C137" t="str">
            <v>S</v>
          </cell>
        </row>
        <row r="138">
          <cell r="A138">
            <v>313002</v>
          </cell>
          <cell r="B138" t="str">
            <v>Contratación del servicio de agua potable</v>
          </cell>
          <cell r="C138" t="str">
            <v>S</v>
          </cell>
        </row>
        <row r="139">
          <cell r="A139">
            <v>314000</v>
          </cell>
          <cell r="B139" t="str">
            <v>Telefonía tradicional</v>
          </cell>
          <cell r="C139" t="str">
            <v>N</v>
          </cell>
        </row>
        <row r="140">
          <cell r="A140">
            <v>314001</v>
          </cell>
          <cell r="B140" t="str">
            <v>Servicio telefónico</v>
          </cell>
          <cell r="C140" t="str">
            <v>S</v>
          </cell>
        </row>
        <row r="141">
          <cell r="A141">
            <v>315000</v>
          </cell>
          <cell r="B141" t="str">
            <v>Telefonía celular</v>
          </cell>
          <cell r="C141" t="str">
            <v>N</v>
          </cell>
        </row>
        <row r="142">
          <cell r="A142">
            <v>315001</v>
          </cell>
          <cell r="B142" t="str">
            <v>Telefonía celular</v>
          </cell>
          <cell r="C142" t="str">
            <v>S</v>
          </cell>
        </row>
        <row r="143">
          <cell r="A143">
            <v>316000</v>
          </cell>
          <cell r="B143" t="str">
            <v>Servicios de telecomunicaciones y satélites</v>
          </cell>
          <cell r="C143" t="str">
            <v>N</v>
          </cell>
        </row>
        <row r="144">
          <cell r="A144">
            <v>316001</v>
          </cell>
          <cell r="B144" t="str">
            <v>Servicios de telecomunicaciones y satélites</v>
          </cell>
          <cell r="C144" t="str">
            <v>S</v>
          </cell>
        </row>
        <row r="145">
          <cell r="A145">
            <v>317000</v>
          </cell>
          <cell r="B145" t="str">
            <v>Servicios de acceso de Internet, redes y procesamiento de información</v>
          </cell>
          <cell r="C145" t="str">
            <v>N</v>
          </cell>
        </row>
        <row r="146">
          <cell r="A146">
            <v>317001</v>
          </cell>
          <cell r="B146" t="str">
            <v>Servicios de acceso de Internet, redes y procesamiento de información</v>
          </cell>
          <cell r="C146" t="str">
            <v>S</v>
          </cell>
        </row>
        <row r="147">
          <cell r="A147">
            <v>318000</v>
          </cell>
          <cell r="B147" t="str">
            <v>Servicios postales y telegráficos</v>
          </cell>
          <cell r="C147" t="str">
            <v>N</v>
          </cell>
        </row>
        <row r="148">
          <cell r="A148">
            <v>318001</v>
          </cell>
          <cell r="B148" t="str">
            <v>Servicio postal y telegráfico</v>
          </cell>
          <cell r="C148" t="str">
            <v>S</v>
          </cell>
        </row>
        <row r="149">
          <cell r="A149">
            <v>319000</v>
          </cell>
          <cell r="B149" t="str">
            <v>Servicios integrales y otros servicios</v>
          </cell>
          <cell r="C149" t="str">
            <v>N</v>
          </cell>
        </row>
        <row r="150">
          <cell r="A150">
            <v>319001</v>
          </cell>
          <cell r="B150" t="str">
            <v>Servicios Integrales</v>
          </cell>
          <cell r="C150" t="str">
            <v>S</v>
          </cell>
        </row>
        <row r="151">
          <cell r="A151">
            <v>320000</v>
          </cell>
          <cell r="B151" t="str">
            <v>SERVICIOS DE ARRENDAMIENTO</v>
          </cell>
          <cell r="C151" t="str">
            <v>N</v>
          </cell>
        </row>
        <row r="152">
          <cell r="A152">
            <v>321000</v>
          </cell>
          <cell r="B152" t="str">
            <v>Arrendamiento de terrenos</v>
          </cell>
          <cell r="C152" t="str">
            <v>N</v>
          </cell>
        </row>
        <row r="153">
          <cell r="A153">
            <v>321001</v>
          </cell>
          <cell r="B153" t="str">
            <v>Arrendamiento de terrenos</v>
          </cell>
          <cell r="C153" t="str">
            <v>S</v>
          </cell>
        </row>
        <row r="154">
          <cell r="A154">
            <v>322000</v>
          </cell>
          <cell r="B154" t="str">
            <v>Arrendamiento de edificios</v>
          </cell>
          <cell r="C154" t="str">
            <v>N</v>
          </cell>
        </row>
        <row r="155">
          <cell r="A155">
            <v>322001</v>
          </cell>
          <cell r="B155" t="str">
            <v>Arrendamiento de edificios</v>
          </cell>
          <cell r="C155" t="str">
            <v>S</v>
          </cell>
        </row>
        <row r="156">
          <cell r="A156">
            <v>323000</v>
          </cell>
          <cell r="B156" t="str">
            <v>Arrendamiento de mobiliario y equipo de administración, educacional y recreativo</v>
          </cell>
          <cell r="C156" t="str">
            <v>N</v>
          </cell>
        </row>
        <row r="157">
          <cell r="A157">
            <v>323001</v>
          </cell>
          <cell r="B157" t="str">
            <v>Arrendamiento de maquinaria y equipo</v>
          </cell>
          <cell r="C157" t="str">
            <v>S</v>
          </cell>
        </row>
        <row r="158">
          <cell r="A158">
            <v>323002</v>
          </cell>
          <cell r="B158" t="str">
            <v>Arrendamiento de maquinaria y equipo de Administración</v>
          </cell>
          <cell r="C158" t="str">
            <v>S</v>
          </cell>
        </row>
        <row r="159">
          <cell r="A159">
            <v>323003</v>
          </cell>
          <cell r="B159" t="str">
            <v>Arrendamiento de Equipo Educacional y Recreativo</v>
          </cell>
          <cell r="C159" t="str">
            <v>S</v>
          </cell>
        </row>
        <row r="160">
          <cell r="A160">
            <v>323004</v>
          </cell>
          <cell r="B160" t="str">
            <v>Arrendamiento de Mobiliario y Equipo</v>
          </cell>
          <cell r="C160" t="str">
            <v>S</v>
          </cell>
        </row>
        <row r="161">
          <cell r="A161">
            <v>324000</v>
          </cell>
          <cell r="B161" t="str">
            <v>Arrendamiento de equipo e instrumental médico y de laboratorio</v>
          </cell>
          <cell r="C161" t="str">
            <v>N</v>
          </cell>
        </row>
        <row r="162">
          <cell r="A162">
            <v>324001</v>
          </cell>
          <cell r="B162" t="str">
            <v>Arrendamiento de equipo e instrumental médico y de laboratorio</v>
          </cell>
          <cell r="C162" t="str">
            <v>S</v>
          </cell>
        </row>
        <row r="163">
          <cell r="A163">
            <v>325000</v>
          </cell>
          <cell r="B163" t="str">
            <v>Arrendamiento de equipo de transporte</v>
          </cell>
          <cell r="C163" t="str">
            <v>N</v>
          </cell>
        </row>
        <row r="164">
          <cell r="A164">
            <v>325001</v>
          </cell>
          <cell r="B164" t="str">
            <v>Arrendamiento de equipo de transporte</v>
          </cell>
          <cell r="C164" t="str">
            <v>S</v>
          </cell>
        </row>
        <row r="165">
          <cell r="A165">
            <v>326000</v>
          </cell>
          <cell r="B165" t="str">
            <v>Arrendamiento de maquinaria, otros equipos y herramientas</v>
          </cell>
          <cell r="C165" t="str">
            <v>N</v>
          </cell>
        </row>
        <row r="166">
          <cell r="A166">
            <v>326001</v>
          </cell>
          <cell r="B166" t="str">
            <v>Arrendamiento de maquinaria, otros equipos y herramientas</v>
          </cell>
          <cell r="C166" t="str">
            <v>S</v>
          </cell>
        </row>
        <row r="167">
          <cell r="A167">
            <v>327000</v>
          </cell>
          <cell r="B167" t="str">
            <v>Arrendamiento de activos intangibles</v>
          </cell>
          <cell r="C167" t="str">
            <v>N</v>
          </cell>
        </row>
        <row r="168">
          <cell r="A168">
            <v>327001</v>
          </cell>
          <cell r="B168" t="str">
            <v>Arrendamiento de activos intangibles</v>
          </cell>
          <cell r="C168" t="str">
            <v>S</v>
          </cell>
        </row>
        <row r="169">
          <cell r="A169">
            <v>328000</v>
          </cell>
          <cell r="B169" t="str">
            <v>Arrendamiento financiero</v>
          </cell>
          <cell r="C169" t="str">
            <v>N</v>
          </cell>
        </row>
        <row r="170">
          <cell r="A170">
            <v>328001</v>
          </cell>
          <cell r="B170" t="str">
            <v>Arrendamiento financiero</v>
          </cell>
          <cell r="C170" t="str">
            <v>S</v>
          </cell>
        </row>
        <row r="171">
          <cell r="A171">
            <v>328002</v>
          </cell>
          <cell r="B171" t="str">
            <v>Programa Estatal de Arrendamiento Vehicular</v>
          </cell>
          <cell r="C171" t="str">
            <v>S</v>
          </cell>
        </row>
        <row r="172">
          <cell r="A172">
            <v>329000</v>
          </cell>
          <cell r="B172" t="str">
            <v>Otros arrendamientos</v>
          </cell>
          <cell r="C172" t="str">
            <v>N</v>
          </cell>
        </row>
        <row r="173">
          <cell r="A173">
            <v>329001</v>
          </cell>
          <cell r="B173" t="str">
            <v>Arrendamientos especiales</v>
          </cell>
          <cell r="C173" t="str">
            <v>S</v>
          </cell>
        </row>
        <row r="174">
          <cell r="A174">
            <v>330000</v>
          </cell>
          <cell r="B174" t="str">
            <v>SERVICIOS PROFESIONALES, CIENTÍFICOS, TÉCNICOS Y OTROS SERVICIOS</v>
          </cell>
          <cell r="C174" t="str">
            <v>N</v>
          </cell>
        </row>
        <row r="175">
          <cell r="A175">
            <v>331000</v>
          </cell>
          <cell r="B175" t="str">
            <v>Servicios legales, de contabilidad, auditoría y relacionados</v>
          </cell>
          <cell r="C175" t="str">
            <v>N</v>
          </cell>
        </row>
        <row r="176">
          <cell r="A176">
            <v>331001</v>
          </cell>
          <cell r="B176" t="str">
            <v>Asesorías</v>
          </cell>
          <cell r="C176" t="str">
            <v>S</v>
          </cell>
        </row>
        <row r="177">
          <cell r="A177">
            <v>331002</v>
          </cell>
          <cell r="B177" t="str">
            <v>Servicios Notariales</v>
          </cell>
          <cell r="C177" t="str">
            <v>S</v>
          </cell>
        </row>
        <row r="178">
          <cell r="A178">
            <v>331003</v>
          </cell>
          <cell r="B178" t="str">
            <v>Consultoría y Gestión</v>
          </cell>
          <cell r="C178" t="str">
            <v>S</v>
          </cell>
        </row>
        <row r="179">
          <cell r="A179">
            <v>332000</v>
          </cell>
          <cell r="B179" t="str">
            <v>Servicios de diseño, arquitectura, ingeniería y actividades relacionadas</v>
          </cell>
          <cell r="C179" t="str">
            <v>N</v>
          </cell>
        </row>
        <row r="180">
          <cell r="A180">
            <v>332001</v>
          </cell>
          <cell r="B180" t="str">
            <v>Servicios de diseño, arquitectura, ingeniería y actividades relacionadas</v>
          </cell>
          <cell r="C180" t="str">
            <v>S</v>
          </cell>
        </row>
        <row r="181">
          <cell r="A181">
            <v>333000</v>
          </cell>
          <cell r="B181" t="str">
            <v>Servicios de consultoría administrativa, procesos, técnica y en tecnologías de la información</v>
          </cell>
          <cell r="C181" t="str">
            <v>N</v>
          </cell>
        </row>
        <row r="182">
          <cell r="A182">
            <v>333001</v>
          </cell>
          <cell r="B182" t="str">
            <v>Estudios e investigaciones</v>
          </cell>
          <cell r="C182" t="str">
            <v>S</v>
          </cell>
        </row>
        <row r="183">
          <cell r="A183">
            <v>333002</v>
          </cell>
          <cell r="B183" t="str">
            <v>Sistematización de la Armonización Contable y Presupuestal</v>
          </cell>
          <cell r="C183" t="str">
            <v>S</v>
          </cell>
        </row>
        <row r="184">
          <cell r="A184">
            <v>333003</v>
          </cell>
          <cell r="B184" t="str">
            <v>Servicios de consultoría administrativa, procesos, técnica y en tecnologías de la información</v>
          </cell>
          <cell r="C184" t="str">
            <v>S</v>
          </cell>
        </row>
        <row r="185">
          <cell r="A185">
            <v>334000</v>
          </cell>
          <cell r="B185" t="str">
            <v>Servicios de capacitación</v>
          </cell>
          <cell r="C185" t="str">
            <v>N</v>
          </cell>
        </row>
        <row r="186">
          <cell r="A186">
            <v>334001</v>
          </cell>
          <cell r="B186" t="str">
            <v>Cuotas e inscripciones</v>
          </cell>
          <cell r="C186" t="str">
            <v>S</v>
          </cell>
        </row>
        <row r="187">
          <cell r="A187">
            <v>334002</v>
          </cell>
          <cell r="B187" t="str">
            <v>Servicios de Capacitación</v>
          </cell>
          <cell r="C187" t="str">
            <v>S</v>
          </cell>
        </row>
        <row r="188">
          <cell r="A188">
            <v>335000</v>
          </cell>
          <cell r="B188" t="str">
            <v>Servicios de investigación científica y desarrollo</v>
          </cell>
          <cell r="C188" t="str">
            <v>N</v>
          </cell>
        </row>
        <row r="189">
          <cell r="A189">
            <v>335001</v>
          </cell>
          <cell r="B189" t="str">
            <v>Servicios de investigación científica y desarrollo</v>
          </cell>
          <cell r="C189" t="str">
            <v>S</v>
          </cell>
        </row>
        <row r="190">
          <cell r="A190">
            <v>336000</v>
          </cell>
          <cell r="B190" t="str">
            <v>Servicios de apoyo administrativo, traducción, fotocopiado e impresión</v>
          </cell>
          <cell r="C190" t="str">
            <v>N</v>
          </cell>
        </row>
        <row r="191">
          <cell r="A191">
            <v>336001</v>
          </cell>
          <cell r="B191" t="str">
            <v>Servicio de Fotocopiado, Enmicado y Encuadernación de Documentos.</v>
          </cell>
          <cell r="C191" t="str">
            <v>S</v>
          </cell>
        </row>
        <row r="192">
          <cell r="A192">
            <v>336002</v>
          </cell>
          <cell r="B192" t="str">
            <v>Servicio de Impresión y Elaboración de Material Informativo</v>
          </cell>
          <cell r="C192" t="str">
            <v>S</v>
          </cell>
        </row>
        <row r="193">
          <cell r="A193">
            <v>337000</v>
          </cell>
          <cell r="B193" t="str">
            <v>Servicios de protección y seguridad</v>
          </cell>
          <cell r="C193" t="str">
            <v>N</v>
          </cell>
        </row>
        <row r="194">
          <cell r="A194">
            <v>337001</v>
          </cell>
          <cell r="B194" t="str">
            <v>Dispositivo de seguridad pública</v>
          </cell>
          <cell r="C194" t="str">
            <v>S</v>
          </cell>
        </row>
        <row r="195">
          <cell r="A195">
            <v>338000</v>
          </cell>
          <cell r="B195" t="str">
            <v>Servicios de vigilancia</v>
          </cell>
          <cell r="C195" t="str">
            <v>N</v>
          </cell>
        </row>
        <row r="196">
          <cell r="A196">
            <v>338001</v>
          </cell>
          <cell r="B196" t="str">
            <v>Servicio de seguridad privada</v>
          </cell>
          <cell r="C196" t="str">
            <v>S</v>
          </cell>
        </row>
        <row r="197">
          <cell r="A197">
            <v>339000</v>
          </cell>
          <cell r="B197" t="str">
            <v>Servicios profesionales, científicos y técnicos integrales</v>
          </cell>
          <cell r="C197" t="str">
            <v>N</v>
          </cell>
        </row>
        <row r="198">
          <cell r="A198">
            <v>339001</v>
          </cell>
          <cell r="B198" t="str">
            <v>Servicios profesionales, científicos y técnicos integrales</v>
          </cell>
          <cell r="C198" t="str">
            <v>S</v>
          </cell>
        </row>
        <row r="199">
          <cell r="A199">
            <v>340000</v>
          </cell>
          <cell r="B199" t="str">
            <v>SERVICIOS FINANCIEROS, BANCARIOS Y COMERCIALES</v>
          </cell>
          <cell r="C199" t="str">
            <v>N</v>
          </cell>
        </row>
        <row r="200">
          <cell r="A200">
            <v>341000</v>
          </cell>
          <cell r="B200" t="str">
            <v>Servicios financieros y bancarios</v>
          </cell>
          <cell r="C200" t="str">
            <v>N</v>
          </cell>
        </row>
        <row r="201">
          <cell r="A201">
            <v>341001</v>
          </cell>
          <cell r="B201" t="str">
            <v>Comisiones, descuentos y otros servicios bancarios</v>
          </cell>
          <cell r="C201" t="str">
            <v>S</v>
          </cell>
        </row>
        <row r="202">
          <cell r="A202">
            <v>342000</v>
          </cell>
          <cell r="B202" t="str">
            <v>Servicios de cobranza, investigación crediticia y similar</v>
          </cell>
          <cell r="C202" t="str">
            <v>N</v>
          </cell>
        </row>
        <row r="203">
          <cell r="A203">
            <v>342001</v>
          </cell>
          <cell r="B203" t="str">
            <v>Servicios de cobranza, investigación crediticia y similar</v>
          </cell>
          <cell r="C203" t="str">
            <v>S</v>
          </cell>
        </row>
        <row r="204">
          <cell r="A204">
            <v>343000</v>
          </cell>
          <cell r="B204" t="str">
            <v>Servicios de recaudación, traslado y custodia de valores</v>
          </cell>
          <cell r="C204" t="str">
            <v>N</v>
          </cell>
        </row>
        <row r="205">
          <cell r="A205">
            <v>343001</v>
          </cell>
          <cell r="B205" t="str">
            <v>Servicios de recaudación, traslado y custodia de valores</v>
          </cell>
          <cell r="C205" t="str">
            <v>S</v>
          </cell>
        </row>
        <row r="206">
          <cell r="A206">
            <v>344000</v>
          </cell>
          <cell r="B206" t="str">
            <v>Seguros de responsabilidad patrimonial y fianzas</v>
          </cell>
          <cell r="C206" t="str">
            <v>N</v>
          </cell>
        </row>
        <row r="207">
          <cell r="A207">
            <v>344001</v>
          </cell>
          <cell r="B207" t="str">
            <v>Seguros de responsabilidad patrimonial y fianzas</v>
          </cell>
          <cell r="C207" t="str">
            <v>S</v>
          </cell>
        </row>
        <row r="208">
          <cell r="A208">
            <v>345000</v>
          </cell>
          <cell r="B208" t="str">
            <v>Seguro de bienes patrimoniales</v>
          </cell>
          <cell r="C208" t="str">
            <v>N</v>
          </cell>
        </row>
        <row r="209">
          <cell r="A209">
            <v>345001</v>
          </cell>
          <cell r="B209" t="str">
            <v>Seguros</v>
          </cell>
          <cell r="C209" t="str">
            <v>S</v>
          </cell>
        </row>
        <row r="210">
          <cell r="A210">
            <v>346000</v>
          </cell>
          <cell r="B210" t="str">
            <v>Almacenaje, envase y embalaje</v>
          </cell>
          <cell r="C210" t="str">
            <v>N</v>
          </cell>
        </row>
        <row r="211">
          <cell r="A211">
            <v>346001</v>
          </cell>
          <cell r="B211" t="str">
            <v>Almacenaje, envase y embalaje</v>
          </cell>
          <cell r="C211" t="str">
            <v>S</v>
          </cell>
        </row>
        <row r="212">
          <cell r="A212">
            <v>347000</v>
          </cell>
          <cell r="B212" t="str">
            <v>Fletes y maniobras</v>
          </cell>
          <cell r="C212" t="str">
            <v>N</v>
          </cell>
        </row>
        <row r="213">
          <cell r="A213">
            <v>347001</v>
          </cell>
          <cell r="B213" t="str">
            <v>Fletes, maniobras y almacenaje</v>
          </cell>
          <cell r="C213" t="str">
            <v>S</v>
          </cell>
        </row>
        <row r="214">
          <cell r="A214">
            <v>348000</v>
          </cell>
          <cell r="B214" t="str">
            <v>Comisiones por ventas</v>
          </cell>
          <cell r="C214" t="str">
            <v>N</v>
          </cell>
        </row>
        <row r="215">
          <cell r="A215">
            <v>348001</v>
          </cell>
          <cell r="B215" t="str">
            <v>Comisiones por ventas</v>
          </cell>
          <cell r="C215" t="str">
            <v>S</v>
          </cell>
        </row>
        <row r="216">
          <cell r="A216">
            <v>349000</v>
          </cell>
          <cell r="B216" t="str">
            <v>Servicios financieros, bancarios y comerciales integrales</v>
          </cell>
          <cell r="C216" t="str">
            <v>N</v>
          </cell>
        </row>
        <row r="217">
          <cell r="A217">
            <v>349001</v>
          </cell>
          <cell r="B217" t="str">
            <v>Servicios financieros, bancarios y comerciales integrales</v>
          </cell>
          <cell r="C217" t="str">
            <v>S</v>
          </cell>
        </row>
        <row r="218">
          <cell r="A218">
            <v>350000</v>
          </cell>
          <cell r="B218" t="str">
            <v>SERVICIOS DE INSTALACIÓN, REPARACIÓN, MANTENIMIENTO Y CONSERVACIÓN</v>
          </cell>
          <cell r="C218" t="str">
            <v>N</v>
          </cell>
        </row>
        <row r="219">
          <cell r="A219">
            <v>351000</v>
          </cell>
          <cell r="B219" t="str">
            <v>Conservación y mantenimiento menor de inmuebles</v>
          </cell>
          <cell r="C219" t="str">
            <v>N</v>
          </cell>
        </row>
        <row r="220">
          <cell r="A220">
            <v>351001</v>
          </cell>
          <cell r="B220" t="str">
            <v>Mantenimiento de inmuebles</v>
          </cell>
          <cell r="C220" t="str">
            <v>S</v>
          </cell>
        </row>
        <row r="221">
          <cell r="A221">
            <v>351002</v>
          </cell>
          <cell r="B221" t="str">
            <v>Fumigación de Inmuebles</v>
          </cell>
          <cell r="C221" t="str">
            <v>S</v>
          </cell>
        </row>
        <row r="222">
          <cell r="A222">
            <v>351003</v>
          </cell>
          <cell r="B222" t="str">
            <v>Mantto. y Conserv. de Inmuebles Sub Proc. Zona Norte</v>
          </cell>
          <cell r="C222" t="str">
            <v>S</v>
          </cell>
        </row>
        <row r="223">
          <cell r="A223">
            <v>352000</v>
          </cell>
          <cell r="B223" t="str">
            <v>Instalación, reparación y mantenimiento de mobiliario y equipo de administración, educacional y recreativo</v>
          </cell>
          <cell r="C223" t="str">
            <v>N</v>
          </cell>
        </row>
        <row r="224">
          <cell r="A224">
            <v>352001</v>
          </cell>
          <cell r="B224" t="str">
            <v>Mantenimiento de mobiliario y equipo</v>
          </cell>
          <cell r="C224" t="str">
            <v>S</v>
          </cell>
        </row>
        <row r="225">
          <cell r="A225">
            <v>352002</v>
          </cell>
          <cell r="B225" t="str">
            <v>Gastos de instalación</v>
          </cell>
          <cell r="C225" t="str">
            <v>S</v>
          </cell>
        </row>
        <row r="226">
          <cell r="A226">
            <v>352003</v>
          </cell>
          <cell r="B226" t="str">
            <v>Mantto. y Conservación Archivo General de Notarias del Gob. del Edo.</v>
          </cell>
          <cell r="C226" t="str">
            <v>S</v>
          </cell>
        </row>
        <row r="227">
          <cell r="A227">
            <v>353000</v>
          </cell>
          <cell r="B227" t="str">
            <v>Instalación, reparación y mantenimiento de equipo de cómputo y tecnología de la información</v>
          </cell>
          <cell r="C227" t="str">
            <v>N</v>
          </cell>
        </row>
        <row r="228">
          <cell r="A228">
            <v>353001</v>
          </cell>
          <cell r="B228" t="str">
            <v>Instalación, reparación y mantenimiento de equipo de cómputo y tecnología  de la información</v>
          </cell>
          <cell r="C228" t="str">
            <v>S</v>
          </cell>
        </row>
        <row r="229">
          <cell r="A229">
            <v>354000</v>
          </cell>
          <cell r="B229" t="str">
            <v>Instalación, reparación y mantenimiento de equipo e instrumental médico y de laboratorio</v>
          </cell>
          <cell r="C229" t="str">
            <v>N</v>
          </cell>
        </row>
        <row r="230">
          <cell r="A230">
            <v>354001</v>
          </cell>
          <cell r="B230" t="str">
            <v>Instalación, reparación y mantenimiento de equipo e instrumental médico y de laboratorio</v>
          </cell>
          <cell r="C230" t="str">
            <v>S</v>
          </cell>
        </row>
        <row r="231">
          <cell r="A231">
            <v>355000</v>
          </cell>
          <cell r="B231" t="str">
            <v>Reparación y mantenimiento de equipo de transporte</v>
          </cell>
          <cell r="C231" t="str">
            <v>N</v>
          </cell>
        </row>
        <row r="232">
          <cell r="A232">
            <v>355001</v>
          </cell>
          <cell r="B232" t="str">
            <v>Mantto. y conservación de vehículos terrestres, aéreos, marítimos, lacustres y fluviales</v>
          </cell>
          <cell r="C232" t="str">
            <v>S</v>
          </cell>
        </row>
        <row r="233">
          <cell r="A233">
            <v>356000</v>
          </cell>
          <cell r="B233" t="str">
            <v>Reparación y mantenimiento de equipo de defensa y seguridad</v>
          </cell>
          <cell r="C233" t="str">
            <v>N</v>
          </cell>
        </row>
        <row r="234">
          <cell r="A234">
            <v>356001</v>
          </cell>
          <cell r="B234" t="str">
            <v>Reparación y mantenimiento de equipo de defensa y seguridad</v>
          </cell>
          <cell r="C234" t="str">
            <v>S</v>
          </cell>
        </row>
        <row r="235">
          <cell r="A235">
            <v>357000</v>
          </cell>
          <cell r="B235" t="str">
            <v>Instalación, reparación y mantenimiento de maquinaria, otros equipos y herramienta</v>
          </cell>
          <cell r="C235" t="str">
            <v>N</v>
          </cell>
        </row>
        <row r="236">
          <cell r="A236">
            <v>357001</v>
          </cell>
          <cell r="B236" t="str">
            <v>Instalación, reparación y mantenimiento de Equipo de Telecomunicaciones</v>
          </cell>
          <cell r="C236" t="str">
            <v>S</v>
          </cell>
        </row>
        <row r="237">
          <cell r="A237">
            <v>357002</v>
          </cell>
          <cell r="B237" t="str">
            <v>Instalación, reparación y mantenimiento de maquinaria, otros equipos y herramienta</v>
          </cell>
          <cell r="C237" t="str">
            <v>S</v>
          </cell>
        </row>
        <row r="238">
          <cell r="A238">
            <v>358000</v>
          </cell>
          <cell r="B238" t="str">
            <v>Servicios de limpieza y manejo de desechos</v>
          </cell>
          <cell r="C238" t="str">
            <v>N</v>
          </cell>
        </row>
        <row r="239">
          <cell r="A239">
            <v>358001</v>
          </cell>
          <cell r="B239" t="str">
            <v>Servicios de higiene y limpieza</v>
          </cell>
          <cell r="C239" t="str">
            <v>S</v>
          </cell>
        </row>
        <row r="240">
          <cell r="A240">
            <v>358002</v>
          </cell>
          <cell r="B240" t="str">
            <v>Servicios de Limpieza y Lavado de Vehículos</v>
          </cell>
          <cell r="C240" t="str">
            <v>S</v>
          </cell>
        </row>
        <row r="241">
          <cell r="A241">
            <v>358003</v>
          </cell>
          <cell r="B241" t="str">
            <v>Servicios de Lavandería</v>
          </cell>
          <cell r="C241" t="str">
            <v>S</v>
          </cell>
        </row>
        <row r="242">
          <cell r="A242">
            <v>359000</v>
          </cell>
          <cell r="B242" t="str">
            <v>Servicios de jardinería y fumigación</v>
          </cell>
          <cell r="C242" t="str">
            <v>N</v>
          </cell>
        </row>
        <row r="243">
          <cell r="A243">
            <v>359001</v>
          </cell>
          <cell r="B243" t="str">
            <v>Árboles, plantas, semillas y abonos</v>
          </cell>
          <cell r="C243" t="str">
            <v>S</v>
          </cell>
        </row>
        <row r="244">
          <cell r="A244">
            <v>359002</v>
          </cell>
          <cell r="B244" t="str">
            <v>Fumigación de áreas verdes</v>
          </cell>
          <cell r="C244" t="str">
            <v>S</v>
          </cell>
        </row>
        <row r="245">
          <cell r="A245">
            <v>360000</v>
          </cell>
          <cell r="B245" t="str">
            <v>SERVICIOS DE COMUNICACIÓN SOCIAL Y PUBLICIDAD</v>
          </cell>
          <cell r="C245" t="str">
            <v>N</v>
          </cell>
        </row>
        <row r="246">
          <cell r="A246">
            <v>361000</v>
          </cell>
          <cell r="B246" t="str">
            <v>Difusión por radio, televisión y otros medios de mensajes sobre programas y actividades gubernamentales</v>
          </cell>
          <cell r="C246" t="str">
            <v>N</v>
          </cell>
        </row>
        <row r="247">
          <cell r="A247">
            <v>361001</v>
          </cell>
          <cell r="B247" t="str">
            <v>Gastos de difusión</v>
          </cell>
          <cell r="C247" t="str">
            <v>S</v>
          </cell>
        </row>
        <row r="248">
          <cell r="A248">
            <v>361002</v>
          </cell>
          <cell r="B248" t="str">
            <v>Impresiones y publicaciones oficiales</v>
          </cell>
          <cell r="C248" t="str">
            <v>S</v>
          </cell>
        </row>
        <row r="249">
          <cell r="A249">
            <v>361003</v>
          </cell>
          <cell r="B249" t="str">
            <v>Rotulaciones oficiales</v>
          </cell>
          <cell r="C249" t="str">
            <v>S</v>
          </cell>
        </row>
        <row r="250">
          <cell r="A250">
            <v>361004</v>
          </cell>
          <cell r="B250" t="str">
            <v>Publicación de convocatorias</v>
          </cell>
          <cell r="C250" t="str">
            <v>S</v>
          </cell>
        </row>
        <row r="251">
          <cell r="A251">
            <v>362000</v>
          </cell>
          <cell r="B251" t="str">
            <v>Difusión por radio, televisión y otros medios de mensajes comerciales para promover la venta de bienes o servicios</v>
          </cell>
          <cell r="C251" t="str">
            <v>N</v>
          </cell>
        </row>
        <row r="252">
          <cell r="A252">
            <v>362001</v>
          </cell>
          <cell r="B252" t="str">
            <v>Difusión por radio, televisión y otros medios de mensajes comerciales para promover la venta de bienes o servicios</v>
          </cell>
          <cell r="C252" t="str">
            <v>S</v>
          </cell>
        </row>
        <row r="253">
          <cell r="A253">
            <v>362002</v>
          </cell>
          <cell r="B253" t="str">
            <v>Difusión por radio, televisión y otros medios de mensajes comerciales para promover la venta de bienes o servicios, fuera del país</v>
          </cell>
          <cell r="C253" t="str">
            <v>S</v>
          </cell>
        </row>
        <row r="254">
          <cell r="A254">
            <v>363000</v>
          </cell>
          <cell r="B254" t="str">
            <v>Servicios de creatividad, preproducción y producción de publicidad, excepto Internet</v>
          </cell>
          <cell r="C254" t="str">
            <v>N</v>
          </cell>
        </row>
        <row r="255">
          <cell r="A255">
            <v>363001</v>
          </cell>
          <cell r="B255" t="str">
            <v>Servicios de Producción y Diseño Publicitario</v>
          </cell>
          <cell r="C255" t="str">
            <v>S</v>
          </cell>
        </row>
        <row r="256">
          <cell r="A256">
            <v>364000</v>
          </cell>
          <cell r="B256" t="str">
            <v>Servicios de revelado de fotografías</v>
          </cell>
          <cell r="C256" t="str">
            <v>N</v>
          </cell>
        </row>
        <row r="257">
          <cell r="A257">
            <v>364001</v>
          </cell>
          <cell r="B257" t="str">
            <v>Revelado de Fotografías</v>
          </cell>
          <cell r="C257" t="str">
            <v>S</v>
          </cell>
        </row>
        <row r="258">
          <cell r="A258">
            <v>365000</v>
          </cell>
          <cell r="B258" t="str">
            <v>Servicios de la industria fílmica, del sonido y del video</v>
          </cell>
          <cell r="C258" t="str">
            <v>N</v>
          </cell>
        </row>
        <row r="259">
          <cell r="A259">
            <v>365001</v>
          </cell>
          <cell r="B259" t="str">
            <v>Servicios de la industria fílmica, del sonido y del video</v>
          </cell>
          <cell r="C259" t="str">
            <v>S</v>
          </cell>
        </row>
        <row r="260">
          <cell r="A260">
            <v>366000</v>
          </cell>
          <cell r="B260" t="str">
            <v>Servicio de creación y difusión de contenido exclusivamente a través de Internet</v>
          </cell>
          <cell r="C260" t="str">
            <v>N</v>
          </cell>
        </row>
        <row r="261">
          <cell r="A261">
            <v>366001</v>
          </cell>
          <cell r="B261" t="str">
            <v>Gastos de difusión a través de internet</v>
          </cell>
          <cell r="C261" t="str">
            <v>S</v>
          </cell>
        </row>
        <row r="262">
          <cell r="A262">
            <v>369000</v>
          </cell>
          <cell r="B262" t="str">
            <v>Otros servicios de información</v>
          </cell>
          <cell r="C262" t="str">
            <v>N</v>
          </cell>
        </row>
        <row r="263">
          <cell r="A263">
            <v>369001</v>
          </cell>
          <cell r="B263" t="str">
            <v>Monitoreo de Información y Encuestas</v>
          </cell>
          <cell r="C263" t="str">
            <v>S</v>
          </cell>
        </row>
        <row r="264">
          <cell r="A264">
            <v>370000</v>
          </cell>
          <cell r="B264" t="str">
            <v>SERVICIOS DE TRASLADO Y VIÁTICOS</v>
          </cell>
          <cell r="C264" t="str">
            <v>N</v>
          </cell>
        </row>
        <row r="265">
          <cell r="A265">
            <v>371000</v>
          </cell>
          <cell r="B265" t="str">
            <v>Pasajes aéreos</v>
          </cell>
          <cell r="C265" t="str">
            <v>N</v>
          </cell>
        </row>
        <row r="266">
          <cell r="A266">
            <v>371001</v>
          </cell>
          <cell r="B266" t="str">
            <v>Pasajes aéreos</v>
          </cell>
          <cell r="C266" t="str">
            <v>S</v>
          </cell>
        </row>
        <row r="267">
          <cell r="A267">
            <v>372000</v>
          </cell>
          <cell r="B267" t="str">
            <v>Pasajes terrestres</v>
          </cell>
          <cell r="C267" t="str">
            <v>N</v>
          </cell>
        </row>
        <row r="268">
          <cell r="A268">
            <v>372001</v>
          </cell>
          <cell r="B268" t="str">
            <v>Pasajes terrestres</v>
          </cell>
          <cell r="C268" t="str">
            <v>S</v>
          </cell>
        </row>
        <row r="269">
          <cell r="A269">
            <v>373000</v>
          </cell>
          <cell r="B269" t="str">
            <v>Pasajes marítimos, lacustres y fluviales</v>
          </cell>
          <cell r="C269" t="str">
            <v>N</v>
          </cell>
        </row>
        <row r="270">
          <cell r="A270">
            <v>373001</v>
          </cell>
          <cell r="B270" t="str">
            <v>Pasajes marítimos</v>
          </cell>
          <cell r="C270" t="str">
            <v>S</v>
          </cell>
        </row>
        <row r="271">
          <cell r="A271">
            <v>374000</v>
          </cell>
          <cell r="B271" t="str">
            <v>Autotransporte</v>
          </cell>
          <cell r="C271" t="str">
            <v>N</v>
          </cell>
        </row>
        <row r="272">
          <cell r="A272">
            <v>374001</v>
          </cell>
          <cell r="B272" t="str">
            <v>Autotransporte</v>
          </cell>
          <cell r="C272" t="str">
            <v>S</v>
          </cell>
        </row>
        <row r="273">
          <cell r="A273">
            <v>375000</v>
          </cell>
          <cell r="B273" t="str">
            <v>Viáticos en el país</v>
          </cell>
          <cell r="C273" t="str">
            <v>N</v>
          </cell>
        </row>
        <row r="274">
          <cell r="A274">
            <v>375001</v>
          </cell>
          <cell r="B274" t="str">
            <v>Viáticos</v>
          </cell>
          <cell r="C274" t="str">
            <v>S</v>
          </cell>
        </row>
        <row r="275">
          <cell r="A275">
            <v>376000</v>
          </cell>
          <cell r="B275" t="str">
            <v>Viáticos en el extranjero</v>
          </cell>
          <cell r="C275" t="str">
            <v>N</v>
          </cell>
        </row>
        <row r="276">
          <cell r="A276">
            <v>376001</v>
          </cell>
          <cell r="B276" t="str">
            <v>Viáticos en el extranjero</v>
          </cell>
          <cell r="C276" t="str">
            <v>S</v>
          </cell>
        </row>
        <row r="277">
          <cell r="A277">
            <v>377000</v>
          </cell>
          <cell r="B277" t="str">
            <v>Gastos de instalación y traslado de menaje</v>
          </cell>
          <cell r="C277" t="str">
            <v>N</v>
          </cell>
        </row>
        <row r="278">
          <cell r="A278">
            <v>377001</v>
          </cell>
          <cell r="B278" t="str">
            <v>Gastos de instalación y traslado de menaje</v>
          </cell>
          <cell r="C278" t="str">
            <v>S</v>
          </cell>
        </row>
        <row r="279">
          <cell r="A279">
            <v>378000</v>
          </cell>
          <cell r="B279" t="str">
            <v>Servicios integrales de traslado y viáticos</v>
          </cell>
          <cell r="C279" t="str">
            <v>N</v>
          </cell>
        </row>
        <row r="280">
          <cell r="A280">
            <v>378001</v>
          </cell>
          <cell r="B280" t="str">
            <v>Diligencias judiciales</v>
          </cell>
          <cell r="C280" t="str">
            <v>S</v>
          </cell>
        </row>
        <row r="281">
          <cell r="A281">
            <v>379000</v>
          </cell>
          <cell r="B281" t="str">
            <v>Otros servicios de traslado y hospedaje</v>
          </cell>
          <cell r="C281" t="str">
            <v>N</v>
          </cell>
        </row>
        <row r="282">
          <cell r="A282">
            <v>379001</v>
          </cell>
          <cell r="B282" t="str">
            <v>Traslado de vehículos</v>
          </cell>
          <cell r="C282" t="str">
            <v>S</v>
          </cell>
        </row>
        <row r="283">
          <cell r="A283">
            <v>379002</v>
          </cell>
          <cell r="B283" t="str">
            <v>Gastos de traslado de personas</v>
          </cell>
          <cell r="C283" t="str">
            <v>S</v>
          </cell>
        </row>
        <row r="284">
          <cell r="A284">
            <v>379003</v>
          </cell>
          <cell r="B284" t="str">
            <v>Hospedaje de personas</v>
          </cell>
          <cell r="C284" t="str">
            <v>S</v>
          </cell>
        </row>
        <row r="285">
          <cell r="A285">
            <v>380000</v>
          </cell>
          <cell r="B285" t="str">
            <v>SERVICIOS OFICIALES</v>
          </cell>
          <cell r="C285" t="str">
            <v>N</v>
          </cell>
        </row>
        <row r="286">
          <cell r="A286">
            <v>381000</v>
          </cell>
          <cell r="B286" t="str">
            <v>Gastos de ceremonial</v>
          </cell>
          <cell r="C286" t="str">
            <v>N</v>
          </cell>
        </row>
        <row r="287">
          <cell r="A287">
            <v>381001</v>
          </cell>
          <cell r="B287" t="str">
            <v>Atención a personalidades nacionales y extranjeras</v>
          </cell>
          <cell r="C287" t="str">
            <v>S</v>
          </cell>
        </row>
        <row r="288">
          <cell r="A288">
            <v>382000</v>
          </cell>
          <cell r="B288" t="str">
            <v>Gastos de orden social y cultural</v>
          </cell>
          <cell r="C288" t="str">
            <v>N</v>
          </cell>
        </row>
        <row r="289">
          <cell r="A289">
            <v>382001</v>
          </cell>
          <cell r="B289" t="str">
            <v>Espectáculos y actividades culturales</v>
          </cell>
          <cell r="C289" t="str">
            <v>S</v>
          </cell>
        </row>
        <row r="290">
          <cell r="A290">
            <v>382002</v>
          </cell>
          <cell r="B290" t="str">
            <v>Gastos de recepción, conmemorativos y de orden social</v>
          </cell>
          <cell r="C290" t="str">
            <v>S</v>
          </cell>
        </row>
        <row r="291">
          <cell r="A291">
            <v>382003</v>
          </cell>
          <cell r="B291" t="str">
            <v>Adaptaciones para eventos sociales y culturales</v>
          </cell>
          <cell r="C291" t="str">
            <v>S</v>
          </cell>
        </row>
        <row r="292">
          <cell r="A292">
            <v>382004</v>
          </cell>
          <cell r="B292" t="str">
            <v>Festividades y Eventos</v>
          </cell>
          <cell r="C292" t="str">
            <v>S</v>
          </cell>
        </row>
        <row r="293">
          <cell r="A293">
            <v>383000</v>
          </cell>
          <cell r="B293" t="str">
            <v>Congresos y convenciones</v>
          </cell>
          <cell r="C293" t="str">
            <v>N</v>
          </cell>
        </row>
        <row r="294">
          <cell r="A294">
            <v>383001</v>
          </cell>
          <cell r="B294" t="str">
            <v>Congresos y convenciones</v>
          </cell>
          <cell r="C294" t="str">
            <v>S</v>
          </cell>
        </row>
        <row r="295">
          <cell r="A295">
            <v>384000</v>
          </cell>
          <cell r="B295" t="str">
            <v>Exposiciones</v>
          </cell>
          <cell r="C295" t="str">
            <v>N</v>
          </cell>
        </row>
        <row r="296">
          <cell r="A296">
            <v>384001</v>
          </cell>
          <cell r="B296" t="str">
            <v>Exposiciones</v>
          </cell>
          <cell r="C296" t="str">
            <v>S</v>
          </cell>
        </row>
        <row r="297">
          <cell r="A297">
            <v>385000</v>
          </cell>
          <cell r="B297" t="str">
            <v>Gastos de representación</v>
          </cell>
          <cell r="C297" t="str">
            <v>N</v>
          </cell>
        </row>
        <row r="298">
          <cell r="A298">
            <v>385001</v>
          </cell>
          <cell r="B298" t="str">
            <v>Gastos de representación</v>
          </cell>
          <cell r="C298" t="str">
            <v>S</v>
          </cell>
        </row>
        <row r="299">
          <cell r="A299">
            <v>390000</v>
          </cell>
          <cell r="B299" t="str">
            <v>OTROS SERVICIOS GENERALES</v>
          </cell>
          <cell r="C299" t="str">
            <v>N</v>
          </cell>
        </row>
        <row r="300">
          <cell r="A300">
            <v>391000</v>
          </cell>
          <cell r="B300" t="str">
            <v>Servicios funerarios y de cementerios</v>
          </cell>
          <cell r="C300" t="str">
            <v>N</v>
          </cell>
        </row>
        <row r="301">
          <cell r="A301">
            <v>391001</v>
          </cell>
          <cell r="B301" t="str">
            <v>Servicios funerarios y de cementerios</v>
          </cell>
          <cell r="C301" t="str">
            <v>S</v>
          </cell>
        </row>
        <row r="302">
          <cell r="A302">
            <v>392000</v>
          </cell>
          <cell r="B302" t="str">
            <v>Impuestos y derechos</v>
          </cell>
          <cell r="C302" t="str">
            <v>N</v>
          </cell>
        </row>
        <row r="303">
          <cell r="A303">
            <v>392001</v>
          </cell>
          <cell r="B303" t="str">
            <v>Impuestos y derechos</v>
          </cell>
          <cell r="C303" t="str">
            <v>S</v>
          </cell>
        </row>
        <row r="304">
          <cell r="A304">
            <v>393000</v>
          </cell>
          <cell r="B304" t="str">
            <v>Impuestos y derechos de importación</v>
          </cell>
          <cell r="C304" t="str">
            <v>N</v>
          </cell>
        </row>
        <row r="305">
          <cell r="A305">
            <v>393001</v>
          </cell>
          <cell r="B305" t="str">
            <v>Impuestos y derechos de importación</v>
          </cell>
          <cell r="C305" t="str">
            <v>S</v>
          </cell>
        </row>
        <row r="306">
          <cell r="A306">
            <v>394000</v>
          </cell>
          <cell r="B306" t="str">
            <v>Sentencias y resoluciones judiciales</v>
          </cell>
          <cell r="C306" t="str">
            <v>N</v>
          </cell>
        </row>
        <row r="307">
          <cell r="A307">
            <v>394001</v>
          </cell>
          <cell r="B307" t="str">
            <v>Sentencias y resoluciones judiciales</v>
          </cell>
          <cell r="C307" t="str">
            <v>S</v>
          </cell>
        </row>
        <row r="308">
          <cell r="A308">
            <v>395000</v>
          </cell>
          <cell r="B308" t="str">
            <v>Penas, multas, accesorios y actualizaciones</v>
          </cell>
          <cell r="C308" t="str">
            <v>N</v>
          </cell>
        </row>
        <row r="309">
          <cell r="A309">
            <v>395001</v>
          </cell>
          <cell r="B309" t="str">
            <v>Penas, multas, accesorios y actualizaciones</v>
          </cell>
          <cell r="C309" t="str">
            <v>S</v>
          </cell>
        </row>
        <row r="310">
          <cell r="A310">
            <v>396000</v>
          </cell>
          <cell r="B310" t="str">
            <v>Otros gastos por responsabilidades</v>
          </cell>
          <cell r="C310" t="str">
            <v>N</v>
          </cell>
        </row>
        <row r="311">
          <cell r="A311">
            <v>396001</v>
          </cell>
          <cell r="B311" t="str">
            <v>Otros gastos por responsabilidades</v>
          </cell>
          <cell r="C311" t="str">
            <v>S</v>
          </cell>
        </row>
        <row r="312">
          <cell r="A312">
            <v>399000</v>
          </cell>
          <cell r="B312" t="str">
            <v>Otros servicios generales</v>
          </cell>
          <cell r="C312" t="str">
            <v>N</v>
          </cell>
        </row>
        <row r="313">
          <cell r="A313">
            <v>399001</v>
          </cell>
          <cell r="B313" t="str">
            <v>Gastos menores</v>
          </cell>
          <cell r="C313" t="str">
            <v>S</v>
          </cell>
        </row>
        <row r="314">
          <cell r="A314">
            <v>399002</v>
          </cell>
          <cell r="B314" t="str">
            <v>Retribuciones a reos</v>
          </cell>
          <cell r="C314" t="str">
            <v>S</v>
          </cell>
        </row>
        <row r="315">
          <cell r="A315">
            <v>399003</v>
          </cell>
          <cell r="B315" t="str">
            <v>Otros servicios de la administración pública</v>
          </cell>
          <cell r="C315" t="str">
            <v>S</v>
          </cell>
        </row>
        <row r="316">
          <cell r="A316">
            <v>399004</v>
          </cell>
          <cell r="B316" t="str">
            <v>Previsión Arrendamientos</v>
          </cell>
          <cell r="C316" t="str">
            <v>Prev</v>
          </cell>
        </row>
        <row r="317">
          <cell r="A317">
            <v>500000</v>
          </cell>
          <cell r="B317" t="str">
            <v>BIENES MUEBLES, INMUEBLES E INTANGIBLES</v>
          </cell>
          <cell r="C317" t="str">
            <v>N</v>
          </cell>
        </row>
        <row r="318">
          <cell r="A318">
            <v>510000</v>
          </cell>
          <cell r="B318" t="str">
            <v>MOBILIARIO Y EQUIPO DE ADMINISTRACIÓN</v>
          </cell>
          <cell r="C318" t="str">
            <v>N</v>
          </cell>
        </row>
        <row r="319">
          <cell r="A319">
            <v>511000</v>
          </cell>
          <cell r="B319" t="str">
            <v>Muebles de oficina y estantería</v>
          </cell>
          <cell r="C319" t="str">
            <v>N</v>
          </cell>
        </row>
        <row r="320">
          <cell r="A320">
            <v>511001</v>
          </cell>
          <cell r="B320" t="str">
            <v>Mobiliario</v>
          </cell>
          <cell r="C320" t="str">
            <v>S</v>
          </cell>
        </row>
        <row r="321">
          <cell r="A321">
            <v>512000</v>
          </cell>
          <cell r="B321" t="str">
            <v>Muebles, excepto de oficina y estantería</v>
          </cell>
          <cell r="C321" t="str">
            <v>N</v>
          </cell>
        </row>
        <row r="322">
          <cell r="A322">
            <v>512001</v>
          </cell>
          <cell r="B322" t="str">
            <v>Muebles, excepto de oficina y estantería</v>
          </cell>
          <cell r="C322" t="str">
            <v>S</v>
          </cell>
        </row>
        <row r="323">
          <cell r="A323">
            <v>513000</v>
          </cell>
          <cell r="B323" t="str">
            <v>Bienes artísticos, culturales y científicos</v>
          </cell>
          <cell r="C323" t="str">
            <v>N</v>
          </cell>
        </row>
        <row r="324">
          <cell r="A324">
            <v>513001</v>
          </cell>
          <cell r="B324" t="str">
            <v>Bienes artísticos y culturales</v>
          </cell>
          <cell r="C324" t="str">
            <v>S</v>
          </cell>
        </row>
        <row r="325">
          <cell r="A325">
            <v>514000</v>
          </cell>
          <cell r="B325" t="str">
            <v>Objetos de valor</v>
          </cell>
          <cell r="C325" t="str">
            <v>N</v>
          </cell>
        </row>
        <row r="326">
          <cell r="A326">
            <v>514001</v>
          </cell>
          <cell r="B326" t="str">
            <v>Objetos de valor</v>
          </cell>
          <cell r="C326" t="str">
            <v>S</v>
          </cell>
        </row>
        <row r="327">
          <cell r="A327">
            <v>515000</v>
          </cell>
          <cell r="B327" t="str">
            <v>Equipo de cómputo y de tecnologías de la información</v>
          </cell>
          <cell r="C327" t="str">
            <v>N</v>
          </cell>
        </row>
        <row r="328">
          <cell r="A328">
            <v>515001</v>
          </cell>
          <cell r="B328" t="str">
            <v>Equipo de administración</v>
          </cell>
          <cell r="C328" t="str">
            <v>S</v>
          </cell>
        </row>
        <row r="329">
          <cell r="A329">
            <v>515002</v>
          </cell>
          <cell r="B329" t="str">
            <v>Equipo de Cómputo y Aparatos de Uso Informático</v>
          </cell>
          <cell r="C329" t="str">
            <v>S</v>
          </cell>
        </row>
        <row r="330">
          <cell r="A330">
            <v>515003</v>
          </cell>
          <cell r="B330" t="str">
            <v>Sistemas de Rastreo Satelital (GPS)</v>
          </cell>
          <cell r="C330" t="str">
            <v>S</v>
          </cell>
        </row>
        <row r="331">
          <cell r="A331">
            <v>519000</v>
          </cell>
          <cell r="B331" t="str">
            <v>Otros mobiliarios y equipos de administración</v>
          </cell>
          <cell r="C331" t="str">
            <v>N</v>
          </cell>
        </row>
        <row r="332">
          <cell r="A332">
            <v>519001</v>
          </cell>
          <cell r="B332" t="str">
            <v>Cámaras y Circuitos Cerrados de Seguridad</v>
          </cell>
          <cell r="C332" t="str">
            <v>S</v>
          </cell>
        </row>
        <row r="333">
          <cell r="A333">
            <v>519002</v>
          </cell>
          <cell r="B333" t="str">
            <v>Equipos de Audio</v>
          </cell>
          <cell r="C333" t="str">
            <v>S</v>
          </cell>
        </row>
        <row r="334">
          <cell r="A334">
            <v>519003</v>
          </cell>
          <cell r="B334" t="str">
            <v>Otras Herramientas, Mobiliarios y Eq. De Administración</v>
          </cell>
          <cell r="C334" t="str">
            <v>S</v>
          </cell>
        </row>
        <row r="335">
          <cell r="A335">
            <v>519004</v>
          </cell>
          <cell r="B335" t="str">
            <v>Aulas Móviles de Vigilancia</v>
          </cell>
          <cell r="C335" t="str">
            <v>S</v>
          </cell>
        </row>
        <row r="336">
          <cell r="A336">
            <v>520000</v>
          </cell>
          <cell r="B336" t="str">
            <v>MOBILIARIO Y EQUIPO EDUCACIONAL Y RECREATIVO</v>
          </cell>
          <cell r="C336" t="str">
            <v>N</v>
          </cell>
        </row>
        <row r="337">
          <cell r="A337">
            <v>521000</v>
          </cell>
          <cell r="B337" t="str">
            <v>Equipos y aparatos audiovisuales</v>
          </cell>
          <cell r="C337" t="str">
            <v>N</v>
          </cell>
        </row>
        <row r="338">
          <cell r="A338">
            <v>521001</v>
          </cell>
          <cell r="B338" t="str">
            <v>Equipo educacional y recreativo</v>
          </cell>
          <cell r="C338" t="str">
            <v>S</v>
          </cell>
        </row>
        <row r="339">
          <cell r="A339">
            <v>522000</v>
          </cell>
          <cell r="B339" t="str">
            <v>Aparatos deportivos</v>
          </cell>
          <cell r="C339" t="str">
            <v>N</v>
          </cell>
        </row>
        <row r="340">
          <cell r="A340">
            <v>522001</v>
          </cell>
          <cell r="B340" t="str">
            <v>Aparatos deportivos</v>
          </cell>
          <cell r="C340" t="str">
            <v>S</v>
          </cell>
        </row>
        <row r="341">
          <cell r="A341">
            <v>523000</v>
          </cell>
          <cell r="B341" t="str">
            <v>Cámaras fotográficas y de video</v>
          </cell>
          <cell r="C341" t="str">
            <v>N</v>
          </cell>
        </row>
        <row r="342">
          <cell r="A342">
            <v>523001</v>
          </cell>
          <cell r="B342" t="str">
            <v>Cámaras Fotográficas</v>
          </cell>
          <cell r="C342" t="str">
            <v>S</v>
          </cell>
        </row>
        <row r="343">
          <cell r="A343">
            <v>523002</v>
          </cell>
          <cell r="B343" t="str">
            <v>Cámaras de Video</v>
          </cell>
          <cell r="C343" t="str">
            <v>S</v>
          </cell>
        </row>
        <row r="344">
          <cell r="A344">
            <v>529000</v>
          </cell>
          <cell r="B344" t="str">
            <v>Otro mobiliario y equipo educacional y recreativo</v>
          </cell>
          <cell r="C344" t="str">
            <v>N</v>
          </cell>
        </row>
        <row r="345">
          <cell r="A345">
            <v>529001</v>
          </cell>
          <cell r="B345" t="str">
            <v>Instrumentos Musicales</v>
          </cell>
          <cell r="C345" t="str">
            <v>S</v>
          </cell>
        </row>
        <row r="346">
          <cell r="A346">
            <v>529002</v>
          </cell>
          <cell r="B346" t="str">
            <v>Equipo Educacional</v>
          </cell>
          <cell r="C346" t="str">
            <v>S</v>
          </cell>
        </row>
        <row r="347">
          <cell r="A347">
            <v>530000</v>
          </cell>
          <cell r="B347" t="str">
            <v>EQUIPO E INSTRUMENTAL MÉDICO Y DE LABORATORIO</v>
          </cell>
          <cell r="C347" t="str">
            <v>N</v>
          </cell>
        </row>
        <row r="348">
          <cell r="A348">
            <v>531000</v>
          </cell>
          <cell r="B348" t="str">
            <v>Equipo médico y de laboratorio</v>
          </cell>
          <cell r="C348" t="str">
            <v>N</v>
          </cell>
        </row>
        <row r="349">
          <cell r="A349">
            <v>531001</v>
          </cell>
          <cell r="B349" t="str">
            <v>Equipo e instrumental medico</v>
          </cell>
          <cell r="C349" t="str">
            <v>S</v>
          </cell>
        </row>
        <row r="350">
          <cell r="A350">
            <v>532000</v>
          </cell>
          <cell r="B350" t="str">
            <v>Instrumental médico y de laboratorio</v>
          </cell>
          <cell r="C350" t="str">
            <v>N</v>
          </cell>
        </row>
        <row r="351">
          <cell r="A351">
            <v>532001</v>
          </cell>
          <cell r="B351" t="str">
            <v>Instrumental médico y de laboratorio</v>
          </cell>
          <cell r="C351" t="str">
            <v>S</v>
          </cell>
        </row>
        <row r="352">
          <cell r="A352">
            <v>540000</v>
          </cell>
          <cell r="B352" t="str">
            <v>VEHÍCULOS Y EQUIPO DE TRANSPORTE</v>
          </cell>
          <cell r="C352" t="str">
            <v>N</v>
          </cell>
        </row>
        <row r="353">
          <cell r="A353">
            <v>541000</v>
          </cell>
          <cell r="B353" t="str">
            <v>Automóviles y camiones</v>
          </cell>
          <cell r="C353" t="str">
            <v>N</v>
          </cell>
        </row>
        <row r="354">
          <cell r="A354">
            <v>541001</v>
          </cell>
          <cell r="B354" t="str">
            <v>Vehículos y equipo terrestre</v>
          </cell>
          <cell r="C354" t="str">
            <v>S</v>
          </cell>
        </row>
        <row r="355">
          <cell r="A355">
            <v>542000</v>
          </cell>
          <cell r="B355" t="str">
            <v>Carrocerías y remolques</v>
          </cell>
          <cell r="C355" t="str">
            <v>N</v>
          </cell>
        </row>
        <row r="356">
          <cell r="A356">
            <v>542001</v>
          </cell>
          <cell r="B356" t="str">
            <v>Carrocerías y remolques</v>
          </cell>
          <cell r="C356" t="str">
            <v>S</v>
          </cell>
        </row>
        <row r="357">
          <cell r="A357">
            <v>543000</v>
          </cell>
          <cell r="B357" t="str">
            <v>Equipo aeroespacial</v>
          </cell>
          <cell r="C357" t="str">
            <v>N</v>
          </cell>
        </row>
        <row r="358">
          <cell r="A358">
            <v>543001</v>
          </cell>
          <cell r="B358" t="str">
            <v>Vehículos y equipo de transporte aéreo</v>
          </cell>
          <cell r="C358" t="str">
            <v>S</v>
          </cell>
        </row>
        <row r="359">
          <cell r="A359">
            <v>544000</v>
          </cell>
          <cell r="B359" t="str">
            <v>Equipo ferroviario</v>
          </cell>
          <cell r="C359" t="str">
            <v>N</v>
          </cell>
        </row>
        <row r="360">
          <cell r="A360">
            <v>544001</v>
          </cell>
          <cell r="B360" t="str">
            <v>Equipo ferroviario</v>
          </cell>
          <cell r="C360" t="str">
            <v>S</v>
          </cell>
        </row>
        <row r="361">
          <cell r="A361">
            <v>545000</v>
          </cell>
          <cell r="B361" t="str">
            <v>Embarcaciones</v>
          </cell>
          <cell r="C361" t="str">
            <v>N</v>
          </cell>
        </row>
        <row r="362">
          <cell r="A362">
            <v>545001</v>
          </cell>
          <cell r="B362" t="str">
            <v>Vehículos y equipo marino</v>
          </cell>
          <cell r="C362" t="str">
            <v>S</v>
          </cell>
        </row>
        <row r="363">
          <cell r="A363">
            <v>549000</v>
          </cell>
          <cell r="B363" t="str">
            <v>Otros Equipos de Transporte</v>
          </cell>
          <cell r="C363" t="str">
            <v>N</v>
          </cell>
        </row>
        <row r="364">
          <cell r="A364">
            <v>549001</v>
          </cell>
          <cell r="B364" t="str">
            <v>Otros equipos de transporte</v>
          </cell>
          <cell r="C364" t="str">
            <v>S</v>
          </cell>
        </row>
        <row r="365">
          <cell r="A365">
            <v>550000</v>
          </cell>
          <cell r="B365" t="str">
            <v>EQUIPO DE DEFENSA Y SEGURIDAD</v>
          </cell>
          <cell r="C365" t="str">
            <v>N</v>
          </cell>
        </row>
        <row r="366">
          <cell r="A366">
            <v>551000</v>
          </cell>
          <cell r="B366" t="str">
            <v>Equipo de defensa y seguridad</v>
          </cell>
          <cell r="C366" t="str">
            <v>N</v>
          </cell>
        </row>
        <row r="367">
          <cell r="A367">
            <v>551001</v>
          </cell>
          <cell r="B367" t="str">
            <v>Equipo de defensa y seguridad pública</v>
          </cell>
          <cell r="C367" t="str">
            <v>S</v>
          </cell>
        </row>
        <row r="368">
          <cell r="A368">
            <v>560000</v>
          </cell>
          <cell r="B368" t="str">
            <v>MAQUINARIA, OTROS EQUIPOS Y HERRAMIENTAS</v>
          </cell>
          <cell r="C368" t="str">
            <v>N</v>
          </cell>
        </row>
        <row r="369">
          <cell r="A369">
            <v>561000</v>
          </cell>
          <cell r="B369" t="str">
            <v>Maquinaria y equipo agropecuario</v>
          </cell>
          <cell r="C369" t="str">
            <v>N</v>
          </cell>
        </row>
        <row r="370">
          <cell r="A370">
            <v>561001</v>
          </cell>
          <cell r="B370" t="str">
            <v>Maquinaria y equipo agropecuario, industrial y de construcción</v>
          </cell>
          <cell r="C370" t="str">
            <v>S</v>
          </cell>
        </row>
        <row r="371">
          <cell r="A371">
            <v>562000</v>
          </cell>
          <cell r="B371" t="str">
            <v>Maquinaria y equipo industrial</v>
          </cell>
          <cell r="C371" t="str">
            <v>N</v>
          </cell>
        </row>
        <row r="372">
          <cell r="A372">
            <v>562001</v>
          </cell>
          <cell r="B372" t="str">
            <v>Bombas Industriales</v>
          </cell>
          <cell r="C372" t="str">
            <v>S</v>
          </cell>
        </row>
        <row r="373">
          <cell r="A373">
            <v>563000</v>
          </cell>
          <cell r="B373" t="str">
            <v>Maquinaria y equipo de construcción</v>
          </cell>
          <cell r="C373" t="str">
            <v>N</v>
          </cell>
        </row>
        <row r="374">
          <cell r="A374">
            <v>563001</v>
          </cell>
          <cell r="B374" t="str">
            <v>Maquinaria y equipo de construcción</v>
          </cell>
          <cell r="C374" t="str">
            <v>S</v>
          </cell>
        </row>
        <row r="375">
          <cell r="A375">
            <v>564000</v>
          </cell>
          <cell r="B375" t="str">
            <v>Sistemas de aire acondicionado, calefacción y de refrigeración industrial y comercial</v>
          </cell>
          <cell r="C375" t="str">
            <v>N</v>
          </cell>
        </row>
        <row r="376">
          <cell r="A376">
            <v>564001</v>
          </cell>
          <cell r="B376" t="str">
            <v>Sistemas de aire acondicionado, calefacción y de refrigeración industrial y comercial</v>
          </cell>
          <cell r="C376" t="str">
            <v>S</v>
          </cell>
        </row>
        <row r="377">
          <cell r="A377">
            <v>565000</v>
          </cell>
          <cell r="B377" t="str">
            <v>Equipo de comunicación y telecomunicación</v>
          </cell>
          <cell r="C377" t="str">
            <v>N</v>
          </cell>
        </row>
        <row r="378">
          <cell r="A378">
            <v>565001</v>
          </cell>
          <cell r="B378" t="str">
            <v>Maq. y equipo de telecomunicaciones, eléctrica y electrónica</v>
          </cell>
          <cell r="C378" t="str">
            <v>S</v>
          </cell>
        </row>
        <row r="379">
          <cell r="A379">
            <v>566000</v>
          </cell>
          <cell r="B379" t="str">
            <v>Equipos de generación eléctrica, aparatos y accesorios eléctricos</v>
          </cell>
          <cell r="C379" t="str">
            <v>N</v>
          </cell>
        </row>
        <row r="380">
          <cell r="A380">
            <v>566001</v>
          </cell>
          <cell r="B380" t="str">
            <v>Equipos de generación eléctrica</v>
          </cell>
          <cell r="C380" t="str">
            <v>S</v>
          </cell>
        </row>
        <row r="381">
          <cell r="A381">
            <v>566002</v>
          </cell>
          <cell r="B381" t="str">
            <v>Aparatos y Accesorios eléctricos</v>
          </cell>
          <cell r="C381" t="str">
            <v>S</v>
          </cell>
        </row>
        <row r="382">
          <cell r="A382">
            <v>567000</v>
          </cell>
          <cell r="B382" t="str">
            <v>Herramientas y máquinas-herramienta</v>
          </cell>
          <cell r="C382" t="str">
            <v>N</v>
          </cell>
        </row>
        <row r="383">
          <cell r="A383">
            <v>567001</v>
          </cell>
          <cell r="B383" t="str">
            <v>Herramientas y refacciones mayores</v>
          </cell>
          <cell r="C383" t="str">
            <v>S</v>
          </cell>
        </row>
        <row r="384">
          <cell r="A384">
            <v>569000</v>
          </cell>
          <cell r="B384" t="str">
            <v>Otros equipos</v>
          </cell>
          <cell r="C384" t="str">
            <v>N</v>
          </cell>
        </row>
        <row r="385">
          <cell r="A385">
            <v>569001</v>
          </cell>
          <cell r="B385" t="str">
            <v>Maquinaria y equipo diverso</v>
          </cell>
          <cell r="C385" t="str">
            <v>S</v>
          </cell>
        </row>
        <row r="386">
          <cell r="A386">
            <v>570000</v>
          </cell>
          <cell r="B386" t="str">
            <v>ACTIVOS BIOLÓGICOS</v>
          </cell>
          <cell r="C386" t="str">
            <v>N</v>
          </cell>
        </row>
        <row r="387">
          <cell r="A387">
            <v>571000</v>
          </cell>
          <cell r="B387" t="str">
            <v>Bovinos</v>
          </cell>
          <cell r="C387" t="str">
            <v>N</v>
          </cell>
        </row>
        <row r="388">
          <cell r="A388">
            <v>571001</v>
          </cell>
          <cell r="B388" t="str">
            <v>Bovinos</v>
          </cell>
          <cell r="C388" t="str">
            <v>S</v>
          </cell>
        </row>
        <row r="389">
          <cell r="A389">
            <v>572000</v>
          </cell>
          <cell r="B389" t="str">
            <v>Porcinos</v>
          </cell>
          <cell r="C389" t="str">
            <v>N</v>
          </cell>
        </row>
        <row r="390">
          <cell r="A390">
            <v>572001</v>
          </cell>
          <cell r="B390" t="str">
            <v>Porcinos</v>
          </cell>
          <cell r="C390" t="str">
            <v>S</v>
          </cell>
        </row>
        <row r="391">
          <cell r="A391">
            <v>573000</v>
          </cell>
          <cell r="B391" t="str">
            <v>Aves</v>
          </cell>
          <cell r="C391" t="str">
            <v>N</v>
          </cell>
        </row>
        <row r="392">
          <cell r="A392">
            <v>573001</v>
          </cell>
          <cell r="B392" t="str">
            <v>Aves</v>
          </cell>
          <cell r="C392" t="str">
            <v>S</v>
          </cell>
        </row>
        <row r="393">
          <cell r="A393">
            <v>574000</v>
          </cell>
          <cell r="B393" t="str">
            <v>Ovinos y caprinos</v>
          </cell>
          <cell r="C393" t="str">
            <v>N</v>
          </cell>
        </row>
        <row r="394">
          <cell r="A394">
            <v>574001</v>
          </cell>
          <cell r="B394" t="str">
            <v>Ovinos y caprinos</v>
          </cell>
          <cell r="C394" t="str">
            <v>S</v>
          </cell>
        </row>
        <row r="395">
          <cell r="A395">
            <v>575000</v>
          </cell>
          <cell r="B395" t="str">
            <v>Peces y acuicultura</v>
          </cell>
          <cell r="C395" t="str">
            <v>N</v>
          </cell>
        </row>
        <row r="396">
          <cell r="A396">
            <v>575001</v>
          </cell>
          <cell r="B396" t="str">
            <v>Peces y acuicultura</v>
          </cell>
          <cell r="C396" t="str">
            <v>S</v>
          </cell>
        </row>
        <row r="397">
          <cell r="A397">
            <v>576000</v>
          </cell>
          <cell r="B397" t="str">
            <v>Equinos</v>
          </cell>
          <cell r="C397" t="str">
            <v>N</v>
          </cell>
        </row>
        <row r="398">
          <cell r="A398">
            <v>576001</v>
          </cell>
          <cell r="B398" t="str">
            <v>Equinos</v>
          </cell>
          <cell r="C398" t="str">
            <v>S</v>
          </cell>
        </row>
        <row r="399">
          <cell r="A399">
            <v>577000</v>
          </cell>
          <cell r="B399" t="str">
            <v>Especies menores y de zoológico</v>
          </cell>
          <cell r="C399" t="str">
            <v>N</v>
          </cell>
        </row>
        <row r="400">
          <cell r="A400">
            <v>577001</v>
          </cell>
          <cell r="B400" t="str">
            <v>Especies menores y de zoológico</v>
          </cell>
          <cell r="C400" t="str">
            <v>S</v>
          </cell>
        </row>
        <row r="401">
          <cell r="A401">
            <v>578000</v>
          </cell>
          <cell r="B401" t="str">
            <v>Árboles y plantas</v>
          </cell>
          <cell r="C401" t="str">
            <v>N</v>
          </cell>
        </row>
        <row r="402">
          <cell r="A402">
            <v>578001</v>
          </cell>
          <cell r="B402" t="str">
            <v>Árboles y plantas</v>
          </cell>
          <cell r="C402" t="str">
            <v>S</v>
          </cell>
        </row>
        <row r="403">
          <cell r="A403">
            <v>579000</v>
          </cell>
          <cell r="B403" t="str">
            <v>Otros activos biológicos</v>
          </cell>
          <cell r="C403" t="str">
            <v>N</v>
          </cell>
        </row>
        <row r="404">
          <cell r="A404">
            <v>579001</v>
          </cell>
          <cell r="B404" t="str">
            <v>Otros activos biológicos</v>
          </cell>
          <cell r="C404" t="str">
            <v>S</v>
          </cell>
        </row>
        <row r="405">
          <cell r="A405">
            <v>580000</v>
          </cell>
          <cell r="B405" t="str">
            <v>BIENES INMUEBLES</v>
          </cell>
          <cell r="C405" t="str">
            <v>N</v>
          </cell>
        </row>
        <row r="406">
          <cell r="A406">
            <v>581000</v>
          </cell>
          <cell r="B406" t="str">
            <v>Terrenos</v>
          </cell>
          <cell r="C406" t="str">
            <v>N</v>
          </cell>
        </row>
        <row r="407">
          <cell r="A407">
            <v>581001</v>
          </cell>
          <cell r="B407" t="str">
            <v>Terrenos</v>
          </cell>
          <cell r="C407" t="str">
            <v>S</v>
          </cell>
        </row>
        <row r="408">
          <cell r="A408">
            <v>582000</v>
          </cell>
          <cell r="B408" t="str">
            <v>Viviendas</v>
          </cell>
          <cell r="C408" t="str">
            <v>N</v>
          </cell>
        </row>
        <row r="409">
          <cell r="A409">
            <v>582001</v>
          </cell>
          <cell r="B409" t="str">
            <v>Viviendas</v>
          </cell>
          <cell r="C409" t="str">
            <v>S</v>
          </cell>
        </row>
        <row r="410">
          <cell r="A410">
            <v>583000</v>
          </cell>
          <cell r="B410" t="str">
            <v>Edificios no residenciales</v>
          </cell>
          <cell r="C410" t="str">
            <v>N</v>
          </cell>
        </row>
        <row r="411">
          <cell r="A411">
            <v>583001</v>
          </cell>
          <cell r="B411" t="str">
            <v>Edificios y locales</v>
          </cell>
          <cell r="C411" t="str">
            <v>S</v>
          </cell>
        </row>
        <row r="412">
          <cell r="A412">
            <v>589000</v>
          </cell>
          <cell r="B412" t="str">
            <v>Otros bienes inmuebles</v>
          </cell>
          <cell r="C412" t="str">
            <v>N</v>
          </cell>
        </row>
        <row r="413">
          <cell r="A413">
            <v>589001</v>
          </cell>
          <cell r="B413" t="str">
            <v>Adjudicaciones, expropiaciones e indemnizaciones de inmuebles</v>
          </cell>
          <cell r="C413" t="str">
            <v>S</v>
          </cell>
        </row>
        <row r="414">
          <cell r="A414">
            <v>590000</v>
          </cell>
          <cell r="B414" t="str">
            <v>ACTIVOS INTANGIBLES</v>
          </cell>
          <cell r="C414" t="str">
            <v>N</v>
          </cell>
        </row>
        <row r="415">
          <cell r="A415">
            <v>591000</v>
          </cell>
          <cell r="B415" t="str">
            <v>Software</v>
          </cell>
          <cell r="C415" t="str">
            <v>N</v>
          </cell>
        </row>
        <row r="416">
          <cell r="A416">
            <v>591001</v>
          </cell>
          <cell r="B416" t="str">
            <v>Software</v>
          </cell>
          <cell r="C416" t="str">
            <v>S</v>
          </cell>
        </row>
        <row r="417">
          <cell r="A417">
            <v>592000</v>
          </cell>
          <cell r="B417" t="str">
            <v>Patentes</v>
          </cell>
          <cell r="C417" t="str">
            <v>N</v>
          </cell>
        </row>
        <row r="418">
          <cell r="A418">
            <v>592001</v>
          </cell>
          <cell r="B418" t="str">
            <v>Patentes</v>
          </cell>
          <cell r="C418" t="str">
            <v>S</v>
          </cell>
        </row>
        <row r="419">
          <cell r="A419">
            <v>593000</v>
          </cell>
          <cell r="B419" t="str">
            <v>Marcas</v>
          </cell>
          <cell r="C419" t="str">
            <v>N</v>
          </cell>
        </row>
        <row r="420">
          <cell r="A420">
            <v>593001</v>
          </cell>
          <cell r="B420" t="str">
            <v>Marcas</v>
          </cell>
          <cell r="C420" t="str">
            <v>S</v>
          </cell>
        </row>
        <row r="421">
          <cell r="A421">
            <v>594000</v>
          </cell>
          <cell r="B421" t="str">
            <v>Derechos</v>
          </cell>
          <cell r="C421" t="str">
            <v>N</v>
          </cell>
        </row>
        <row r="422">
          <cell r="A422">
            <v>594001</v>
          </cell>
          <cell r="B422" t="str">
            <v>Derechos</v>
          </cell>
          <cell r="C422" t="str">
            <v>S</v>
          </cell>
        </row>
        <row r="423">
          <cell r="A423">
            <v>595000</v>
          </cell>
          <cell r="B423" t="str">
            <v>Concesiones</v>
          </cell>
          <cell r="C423" t="str">
            <v>N</v>
          </cell>
        </row>
        <row r="424">
          <cell r="A424">
            <v>595001</v>
          </cell>
          <cell r="B424" t="str">
            <v>Concesiones</v>
          </cell>
          <cell r="C424" t="str">
            <v>S</v>
          </cell>
        </row>
        <row r="425">
          <cell r="A425">
            <v>596000</v>
          </cell>
          <cell r="B425" t="str">
            <v>Franquicias</v>
          </cell>
          <cell r="C425" t="str">
            <v>N</v>
          </cell>
        </row>
        <row r="426">
          <cell r="A426">
            <v>596001</v>
          </cell>
          <cell r="B426" t="str">
            <v>Franquicias</v>
          </cell>
          <cell r="C426" t="str">
            <v>S</v>
          </cell>
        </row>
        <row r="427">
          <cell r="A427">
            <v>597000</v>
          </cell>
          <cell r="B427" t="str">
            <v>Licencias informáticas e intelectuales</v>
          </cell>
          <cell r="C427" t="str">
            <v>N</v>
          </cell>
        </row>
        <row r="428">
          <cell r="A428">
            <v>597001</v>
          </cell>
          <cell r="B428" t="str">
            <v>Licencias para programas de antivirus</v>
          </cell>
          <cell r="C428" t="str">
            <v>S</v>
          </cell>
        </row>
        <row r="429">
          <cell r="A429">
            <v>597002</v>
          </cell>
          <cell r="B429" t="str">
            <v>Licencias Microsoft Windows server 2003 edición estándar</v>
          </cell>
          <cell r="C429" t="str">
            <v>S</v>
          </cell>
        </row>
        <row r="430">
          <cell r="A430">
            <v>598000</v>
          </cell>
          <cell r="B430" t="str">
            <v>Licencias industriales, comerciales y otras</v>
          </cell>
          <cell r="C430" t="str">
            <v>N</v>
          </cell>
        </row>
        <row r="431">
          <cell r="A431">
            <v>598001</v>
          </cell>
          <cell r="B431" t="str">
            <v>Licencias industriales, comerciales y otras</v>
          </cell>
          <cell r="C431" t="str">
            <v>S</v>
          </cell>
        </row>
        <row r="432">
          <cell r="A432">
            <v>599000</v>
          </cell>
          <cell r="B432" t="str">
            <v>Otros activos intangibles</v>
          </cell>
          <cell r="C432" t="str">
            <v>N</v>
          </cell>
        </row>
        <row r="433">
          <cell r="A433">
            <v>599001</v>
          </cell>
          <cell r="B433" t="str">
            <v>Otros activos intangibles</v>
          </cell>
          <cell r="C433" t="str">
            <v>S</v>
          </cell>
        </row>
      </sheetData>
      <sheetData sheetId="5">
        <row r="1">
          <cell r="A1" t="str">
            <v>NOMENCLATURA</v>
          </cell>
          <cell r="B1" t="str">
            <v>DESCRPCION</v>
          </cell>
          <cell r="C1"/>
          <cell r="D1"/>
        </row>
        <row r="2">
          <cell r="A2">
            <v>100</v>
          </cell>
          <cell r="B2" t="str">
            <v>INGRESOS PROPIOS Y APROVECHAMIENTOS</v>
          </cell>
          <cell r="C2"/>
          <cell r="D2"/>
        </row>
        <row r="3">
          <cell r="A3">
            <v>101</v>
          </cell>
          <cell r="B3" t="str">
            <v>INGRESOS PROPIOS (IMPUESTOS, DERECHOS, PRODUCTOS Y APROVECHAMIENTOS)</v>
          </cell>
          <cell r="C3"/>
          <cell r="D3"/>
        </row>
        <row r="4">
          <cell r="A4">
            <v>102</v>
          </cell>
          <cell r="B4" t="str">
            <v>INGRESOS PROPIOS</v>
          </cell>
          <cell r="C4"/>
          <cell r="D4"/>
        </row>
        <row r="5">
          <cell r="A5">
            <v>103</v>
          </cell>
          <cell r="B5" t="str">
            <v>INGRESOS PROPIOS APORTACIONES MUNICIPALES</v>
          </cell>
          <cell r="C5"/>
          <cell r="D5"/>
        </row>
        <row r="6">
          <cell r="A6">
            <v>104</v>
          </cell>
          <cell r="B6" t="str">
            <v>APROVECHAMIENTO POR EL USO DE LA I NFRAESTRUCTURA ESTATAL</v>
          </cell>
          <cell r="C6"/>
          <cell r="D6"/>
        </row>
        <row r="7">
          <cell r="A7">
            <v>110</v>
          </cell>
          <cell r="B7" t="str">
            <v>RECURSO F.O.I.S.</v>
          </cell>
          <cell r="C7"/>
          <cell r="D7"/>
        </row>
        <row r="8">
          <cell r="A8">
            <v>111</v>
          </cell>
          <cell r="B8" t="str">
            <v>RECURSO A.P.I.</v>
          </cell>
          <cell r="C8"/>
          <cell r="D8"/>
        </row>
        <row r="9">
          <cell r="A9">
            <v>130</v>
          </cell>
          <cell r="B9" t="str">
            <v>Reintegro con Ingresos Propios Ramo 28</v>
          </cell>
          <cell r="C9"/>
          <cell r="D9"/>
        </row>
        <row r="10">
          <cell r="A10">
            <v>136</v>
          </cell>
          <cell r="B10" t="str">
            <v>Reintegro con Ingresos Propios FONE</v>
          </cell>
          <cell r="C10"/>
          <cell r="D10"/>
        </row>
        <row r="11">
          <cell r="A11">
            <v>137</v>
          </cell>
          <cell r="B11" t="str">
            <v>Reintegro con Ingresos Propios FASSA</v>
          </cell>
          <cell r="C11"/>
          <cell r="D11"/>
        </row>
        <row r="12">
          <cell r="A12">
            <v>138</v>
          </cell>
          <cell r="B12" t="str">
            <v>Reintegro con Ingresos Propios FAIS/FISE</v>
          </cell>
          <cell r="C12"/>
          <cell r="D12"/>
        </row>
        <row r="13">
          <cell r="A13">
            <v>139</v>
          </cell>
          <cell r="B13" t="str">
            <v>Reintegro con Ingresos Propios FAIS/FISM</v>
          </cell>
          <cell r="C13"/>
          <cell r="D13"/>
        </row>
        <row r="14">
          <cell r="A14">
            <v>140</v>
          </cell>
          <cell r="B14" t="str">
            <v>Reintegro con Ingresos Propios FORTAMUN</v>
          </cell>
          <cell r="C14"/>
          <cell r="D14"/>
        </row>
        <row r="15">
          <cell r="A15">
            <v>141</v>
          </cell>
          <cell r="B15" t="str">
            <v>Reintegro con Ingresos Propios FAM/Asistencia Social</v>
          </cell>
          <cell r="C15"/>
          <cell r="D15"/>
        </row>
        <row r="16">
          <cell r="A16">
            <v>142</v>
          </cell>
          <cell r="B16" t="str">
            <v>Reintegro con Ingresos Propios FAM/Infraest. Educación Básica</v>
          </cell>
          <cell r="C16"/>
          <cell r="D16"/>
        </row>
        <row r="17">
          <cell r="A17">
            <v>143</v>
          </cell>
          <cell r="B17" t="str">
            <v>Reintegro con Ingresos Propios FAM/ Infraest. Educación Media Superior y Superior</v>
          </cell>
          <cell r="C17"/>
          <cell r="D17"/>
        </row>
        <row r="18">
          <cell r="A18">
            <v>145</v>
          </cell>
          <cell r="B18" t="str">
            <v>Reintegro con Ingresos Propios FAETA/Educ. Tecnológica (CONALEP)</v>
          </cell>
          <cell r="C18"/>
          <cell r="D18"/>
        </row>
        <row r="19">
          <cell r="A19">
            <v>146</v>
          </cell>
          <cell r="B19" t="str">
            <v>Reintegro con Ingresos Propios FAETA Educ. Adultos (IEEA)</v>
          </cell>
          <cell r="C19"/>
          <cell r="D19"/>
        </row>
        <row r="20">
          <cell r="A20">
            <v>147</v>
          </cell>
          <cell r="B20" t="str">
            <v>Reintegro con Ingresos Propios FASP</v>
          </cell>
          <cell r="C20"/>
          <cell r="D20"/>
        </row>
        <row r="21">
          <cell r="A21">
            <v>148</v>
          </cell>
          <cell r="B21" t="str">
            <v>Reintegro con Ingresos Propios FAFEF</v>
          </cell>
          <cell r="C21"/>
          <cell r="D21"/>
        </row>
        <row r="22">
          <cell r="A22">
            <v>149</v>
          </cell>
          <cell r="B22" t="str">
            <v>Reintegro con Ingresos Propios SEDATU</v>
          </cell>
          <cell r="C22"/>
          <cell r="D22"/>
        </row>
        <row r="23">
          <cell r="A23">
            <v>161</v>
          </cell>
          <cell r="B23" t="str">
            <v>Reintegro con Ingresos Propios CULTURA Ramo 48</v>
          </cell>
          <cell r="C23"/>
          <cell r="D23"/>
        </row>
        <row r="24">
          <cell r="A24">
            <v>162</v>
          </cell>
          <cell r="B24" t="str">
            <v>Reintegro con Ingresos Propios UABCS</v>
          </cell>
          <cell r="C24"/>
          <cell r="D24"/>
        </row>
        <row r="25">
          <cell r="A25">
            <v>163</v>
          </cell>
          <cell r="B25" t="str">
            <v>Reintegro con Ingresos Propios CONAGUA</v>
          </cell>
          <cell r="C25"/>
          <cell r="D25"/>
        </row>
        <row r="26">
          <cell r="A26">
            <v>164</v>
          </cell>
          <cell r="B26" t="str">
            <v>Reintegro con Ingresos Propios SEGOB</v>
          </cell>
          <cell r="C26"/>
          <cell r="D26"/>
        </row>
        <row r="27">
          <cell r="A27">
            <v>165</v>
          </cell>
          <cell r="B27" t="str">
            <v>Reintegro con Ingresos Propios SECTUR</v>
          </cell>
          <cell r="C27"/>
          <cell r="D27"/>
        </row>
        <row r="28">
          <cell r="A28">
            <v>166</v>
          </cell>
          <cell r="B28" t="str">
            <v>Reintegro con Ingresos Propios PROFIS</v>
          </cell>
          <cell r="C28"/>
          <cell r="D28"/>
        </row>
        <row r="29">
          <cell r="A29">
            <v>167</v>
          </cell>
          <cell r="B29" t="str">
            <v>Reintegro con Ingresos Propios SSP</v>
          </cell>
          <cell r="C29"/>
          <cell r="D29"/>
        </row>
        <row r="30">
          <cell r="A30">
            <v>168</v>
          </cell>
          <cell r="B30" t="str">
            <v>Reintegro con Ingresos Propios COBACH</v>
          </cell>
          <cell r="C30"/>
          <cell r="D30"/>
        </row>
        <row r="31">
          <cell r="A31">
            <v>169</v>
          </cell>
          <cell r="B31" t="str">
            <v>Reintegro con Ingresos Propios Fondo Proporcional Peso a Peso</v>
          </cell>
          <cell r="C31"/>
          <cell r="D31"/>
        </row>
        <row r="32">
          <cell r="A32">
            <v>170</v>
          </cell>
          <cell r="B32" t="str">
            <v>Reintegro con Ingresos Propios CECYTE</v>
          </cell>
          <cell r="C32"/>
          <cell r="D32"/>
        </row>
        <row r="33">
          <cell r="A33">
            <v>171</v>
          </cell>
          <cell r="B33" t="str">
            <v>Reintegro con Ingresos Propios Imp. Ref. Penal (SETEC)</v>
          </cell>
          <cell r="C33"/>
          <cell r="D33"/>
        </row>
        <row r="34">
          <cell r="A34">
            <v>172</v>
          </cell>
          <cell r="B34" t="str">
            <v>Reintegro con Ingresos Propios CONADE</v>
          </cell>
          <cell r="C34"/>
          <cell r="D34"/>
        </row>
        <row r="35">
          <cell r="A35">
            <v>173</v>
          </cell>
          <cell r="B35" t="str">
            <v>Reintegro con Ingresos Propios Conv. Salud (Ramo 12)</v>
          </cell>
          <cell r="C35"/>
          <cell r="D35"/>
        </row>
        <row r="36">
          <cell r="A36">
            <v>174</v>
          </cell>
          <cell r="B36" t="str">
            <v>Reintegro con Ingresos Propios Secretaría de Economía</v>
          </cell>
          <cell r="C36"/>
          <cell r="D36"/>
        </row>
        <row r="37">
          <cell r="A37">
            <v>177</v>
          </cell>
          <cell r="B37" t="str">
            <v>Reintegro con Ingresos Propios SUBSEMUN</v>
          </cell>
          <cell r="C37"/>
          <cell r="D37"/>
        </row>
        <row r="38">
          <cell r="A38">
            <v>178</v>
          </cell>
          <cell r="B38" t="str">
            <v>Reintegro con Ingresos Propios Fondo Para La Infraest. de los Estados</v>
          </cell>
          <cell r="C38"/>
          <cell r="D38"/>
        </row>
        <row r="39">
          <cell r="A39">
            <v>179</v>
          </cell>
          <cell r="B39" t="str">
            <v>Reintegro con Ingresos Propios Apoyo Financiero Ext. UABCS</v>
          </cell>
          <cell r="C39"/>
          <cell r="D39"/>
        </row>
        <row r="40">
          <cell r="A40">
            <v>180</v>
          </cell>
          <cell r="B40" t="str">
            <v>Reintegro con Ingresos Propios Apoyo Financiero Ext. ISIFE</v>
          </cell>
          <cell r="C40"/>
          <cell r="D40"/>
        </row>
        <row r="41">
          <cell r="A41">
            <v>181</v>
          </cell>
          <cell r="B41" t="str">
            <v>Reintegro con Ingresos Propios Subs. Policía Estatal Acreditable (SPA)</v>
          </cell>
          <cell r="C41"/>
          <cell r="D41"/>
        </row>
        <row r="42">
          <cell r="A42">
            <v>182</v>
          </cell>
          <cell r="B42" t="str">
            <v>Reintegro con Ingresos Propios PROASP</v>
          </cell>
          <cell r="C42"/>
          <cell r="D42"/>
        </row>
        <row r="43">
          <cell r="A43">
            <v>183</v>
          </cell>
          <cell r="B43" t="str">
            <v>Reintegro con Ingresos Propios Ingresos Extraordinarios</v>
          </cell>
          <cell r="C43"/>
          <cell r="D43"/>
        </row>
        <row r="44">
          <cell r="A44">
            <v>184</v>
          </cell>
          <cell r="B44" t="str">
            <v>Reintegro con Ingresos Propios Ingresos Derivados del 5 Al Millar (Obra)</v>
          </cell>
          <cell r="C44"/>
          <cell r="D44"/>
        </row>
        <row r="45">
          <cell r="A45">
            <v>185</v>
          </cell>
          <cell r="B45" t="str">
            <v>Reintegro con Ingresos Propios Ingresos Extraordinarios Ramo 23</v>
          </cell>
          <cell r="C45"/>
          <cell r="D45"/>
        </row>
        <row r="46">
          <cell r="A46">
            <v>186</v>
          </cell>
          <cell r="B46" t="str">
            <v>Reintegro con Ingresos Propios Ingresos Extraordinarios Ramo 21</v>
          </cell>
          <cell r="C46"/>
          <cell r="D46"/>
        </row>
        <row r="47">
          <cell r="A47">
            <v>187</v>
          </cell>
          <cell r="B47" t="str">
            <v>Reintegro con Ingresos Propios Ingresos Extraordinarios Sep. Ramo 11</v>
          </cell>
          <cell r="C47"/>
          <cell r="D47"/>
        </row>
        <row r="48">
          <cell r="A48">
            <v>188</v>
          </cell>
          <cell r="B48" t="str">
            <v>Reintegro con Ingresos Propios Ingresos Ext. Ramo 09 (SCT)</v>
          </cell>
          <cell r="C48"/>
          <cell r="D48"/>
        </row>
        <row r="49">
          <cell r="A49">
            <v>189</v>
          </cell>
          <cell r="B49" t="str">
            <v>Reintegro con Ingresos Propios Ingresos Ext. Ramo 16 (SEMARNAT)</v>
          </cell>
          <cell r="C49"/>
          <cell r="D49"/>
        </row>
        <row r="50">
          <cell r="A50">
            <v>201</v>
          </cell>
          <cell r="B50" t="str">
            <v>BONO CUPÓN CERO</v>
          </cell>
          <cell r="C50"/>
          <cell r="D50"/>
        </row>
        <row r="51">
          <cell r="A51">
            <v>500</v>
          </cell>
          <cell r="B51" t="str">
            <v>RECURSOS FEDERALES</v>
          </cell>
          <cell r="C51"/>
          <cell r="D51"/>
        </row>
        <row r="52">
          <cell r="A52">
            <v>530</v>
          </cell>
          <cell r="B52" t="str">
            <v>PARTICIPACIONES Ramo 28</v>
          </cell>
          <cell r="C52"/>
          <cell r="D52"/>
        </row>
        <row r="53">
          <cell r="A53">
            <v>535</v>
          </cell>
          <cell r="B53" t="str">
            <v>INTERESES BANCARIOS PROYECTADOS, RECURSOS FEDERALES</v>
          </cell>
          <cell r="C53"/>
          <cell r="D53"/>
        </row>
        <row r="54">
          <cell r="A54">
            <v>536</v>
          </cell>
          <cell r="B54" t="str">
            <v>FONE Ramo 33</v>
          </cell>
          <cell r="C54"/>
          <cell r="D54"/>
        </row>
        <row r="55">
          <cell r="A55">
            <v>537</v>
          </cell>
          <cell r="B55" t="str">
            <v>FASSA Ramo 33</v>
          </cell>
          <cell r="C55"/>
          <cell r="D55"/>
        </row>
        <row r="56">
          <cell r="A56">
            <v>538</v>
          </cell>
          <cell r="B56" t="str">
            <v>FAIS/FISE Ramo 33</v>
          </cell>
          <cell r="C56"/>
          <cell r="D56"/>
        </row>
        <row r="57">
          <cell r="A57">
            <v>539</v>
          </cell>
          <cell r="B57" t="str">
            <v>FAIS/FISM Ramo 33</v>
          </cell>
          <cell r="C57"/>
          <cell r="D57"/>
        </row>
        <row r="58">
          <cell r="A58">
            <v>540</v>
          </cell>
          <cell r="B58" t="str">
            <v>FORTAMUN Ramo 33</v>
          </cell>
          <cell r="C58"/>
          <cell r="D58"/>
        </row>
        <row r="59">
          <cell r="A59">
            <v>541</v>
          </cell>
          <cell r="B59" t="str">
            <v>FAM/ASISTENCIA SOCIAL Ramo 33</v>
          </cell>
          <cell r="C59"/>
          <cell r="D59"/>
        </row>
        <row r="60">
          <cell r="A60">
            <v>542</v>
          </cell>
          <cell r="B60" t="str">
            <v>FAM/INFRAESTRUCTURA DE EDUCACIÓN BÁSICA Ramo 33</v>
          </cell>
          <cell r="C60"/>
          <cell r="D60"/>
        </row>
        <row r="61">
          <cell r="A61">
            <v>543</v>
          </cell>
          <cell r="B61" t="str">
            <v>FAM/EDUCACIÓN MEDIA SUPERIOR Y SUPERIOR Ramo 33</v>
          </cell>
          <cell r="C61"/>
          <cell r="D61"/>
        </row>
        <row r="62">
          <cell r="A62">
            <v>545</v>
          </cell>
          <cell r="B62" t="str">
            <v>FAETA/EDUCACIÓN TECNOLÓGICA ( CONALEP) Ramo 33</v>
          </cell>
          <cell r="C62"/>
          <cell r="D62"/>
        </row>
        <row r="63">
          <cell r="A63">
            <v>546</v>
          </cell>
          <cell r="B63" t="str">
            <v>FAETA/EDUCACIÓN ADULTOS (IEEA) Ramo 33</v>
          </cell>
          <cell r="C63"/>
          <cell r="D63"/>
        </row>
        <row r="64">
          <cell r="A64">
            <v>547</v>
          </cell>
          <cell r="B64" t="str">
            <v>FASP Ramo 33</v>
          </cell>
          <cell r="C64"/>
          <cell r="D64"/>
        </row>
        <row r="65">
          <cell r="A65">
            <v>548</v>
          </cell>
          <cell r="B65" t="str">
            <v>FAFEF Ramo 33</v>
          </cell>
          <cell r="C65"/>
          <cell r="D65"/>
        </row>
        <row r="66">
          <cell r="A66">
            <v>549</v>
          </cell>
          <cell r="B66" t="str">
            <v>SRIA. DE DES. AGRARIO TERRITORIAL Y URBANO (SEDATU) Ramo 15</v>
          </cell>
          <cell r="C66"/>
          <cell r="D66"/>
        </row>
        <row r="67">
          <cell r="A67">
            <v>561</v>
          </cell>
          <cell r="B67" t="str">
            <v>CULTURA FEDERAL Ramo 48</v>
          </cell>
          <cell r="C67"/>
          <cell r="D67"/>
        </row>
        <row r="68">
          <cell r="A68">
            <v>562</v>
          </cell>
          <cell r="B68" t="str">
            <v>UNIVERSIDAD AUTÓNOMA DE B.C.S. Ramo 11</v>
          </cell>
          <cell r="C68"/>
          <cell r="D68"/>
        </row>
        <row r="69">
          <cell r="A69">
            <v>563</v>
          </cell>
          <cell r="B69" t="str">
            <v>CONAGUA Ramo 16</v>
          </cell>
          <cell r="C69"/>
          <cell r="D69"/>
        </row>
        <row r="70">
          <cell r="A70">
            <v>564</v>
          </cell>
          <cell r="B70" t="str">
            <v>SECRETARÍA DE GOBERNACIÓN Ramo 04</v>
          </cell>
          <cell r="C70"/>
          <cell r="D70"/>
        </row>
        <row r="71">
          <cell r="A71">
            <v>565</v>
          </cell>
          <cell r="B71" t="str">
            <v>SECRETARÍA DE TURISMO Ramo 21</v>
          </cell>
          <cell r="C71"/>
          <cell r="D71"/>
        </row>
        <row r="72">
          <cell r="A72">
            <v>566</v>
          </cell>
          <cell r="B72" t="str">
            <v>PROFIS</v>
          </cell>
          <cell r="C72"/>
          <cell r="D72"/>
        </row>
        <row r="73">
          <cell r="A73">
            <v>567</v>
          </cell>
          <cell r="B73" t="str">
            <v>SECRETARÍA DE SEGURIDAD PÚBLICA</v>
          </cell>
          <cell r="C73"/>
          <cell r="D73"/>
        </row>
        <row r="74">
          <cell r="A74">
            <v>568</v>
          </cell>
          <cell r="B74" t="str">
            <v>COBACH Ramo 11</v>
          </cell>
          <cell r="C74"/>
          <cell r="D74"/>
        </row>
        <row r="75">
          <cell r="A75">
            <v>569</v>
          </cell>
          <cell r="B75" t="str">
            <v>FONDO PROPORCIONAL PESO A PESO</v>
          </cell>
          <cell r="C75"/>
          <cell r="D75"/>
        </row>
        <row r="76">
          <cell r="A76">
            <v>570</v>
          </cell>
          <cell r="B76" t="str">
            <v>CECYTE Ramo 11</v>
          </cell>
          <cell r="C76"/>
          <cell r="D76"/>
        </row>
        <row r="77">
          <cell r="A77">
            <v>571</v>
          </cell>
          <cell r="B77" t="str">
            <v>IMPLEMENTACIÓN DE LA REFORMA PENAL (SETEC)</v>
          </cell>
          <cell r="C77"/>
          <cell r="D77"/>
        </row>
        <row r="78">
          <cell r="A78">
            <v>572</v>
          </cell>
          <cell r="B78" t="str">
            <v>CONADE Ramo 11</v>
          </cell>
          <cell r="C78"/>
          <cell r="D78"/>
        </row>
        <row r="79">
          <cell r="A79">
            <v>573</v>
          </cell>
          <cell r="B79" t="str">
            <v>CONVENIOS Ramo 12</v>
          </cell>
          <cell r="C79"/>
          <cell r="D79"/>
        </row>
        <row r="80">
          <cell r="A80">
            <v>574</v>
          </cell>
          <cell r="B80" t="str">
            <v>SECRETARÍA DE ECONOMÍA Ramo 10</v>
          </cell>
          <cell r="C80"/>
          <cell r="D80"/>
        </row>
        <row r="81">
          <cell r="A81">
            <v>577</v>
          </cell>
          <cell r="B81" t="str">
            <v>SUBSIDIO SEGURIDAD PÚBLICA MUNICIPAL</v>
          </cell>
          <cell r="C81"/>
          <cell r="D81"/>
        </row>
        <row r="82">
          <cell r="A82">
            <v>578</v>
          </cell>
          <cell r="B82" t="str">
            <v>FIDEICOMISO PARA LA INFRAESTRUCTURA DE LOS ESTADOS Ramo 23</v>
          </cell>
          <cell r="C82"/>
          <cell r="D82"/>
        </row>
        <row r="83">
          <cell r="A83">
            <v>579</v>
          </cell>
          <cell r="B83" t="str">
            <v>APOYO FINANCIERO EXTRAORDINARIO UABCS Ramo 11</v>
          </cell>
          <cell r="C83"/>
          <cell r="D83"/>
        </row>
        <row r="84">
          <cell r="A84">
            <v>580</v>
          </cell>
          <cell r="B84" t="str">
            <v>APOYO FINANCIERO EXTRAORDINARIO ISIFE Ramo 11</v>
          </cell>
          <cell r="C84"/>
          <cell r="D84"/>
        </row>
        <row r="85">
          <cell r="A85">
            <v>581</v>
          </cell>
          <cell r="B85" t="str">
            <v>SUBSIDIO POLICÍA ESTATAL ACREDITABLE (SPA)</v>
          </cell>
          <cell r="C85"/>
          <cell r="D85"/>
        </row>
        <row r="86">
          <cell r="A86">
            <v>582</v>
          </cell>
          <cell r="B86" t="str">
            <v>PROASP PROG. DE ALCANCE NAL. EN MAT. DE SEG. PUB. Ramo 04</v>
          </cell>
          <cell r="C86"/>
          <cell r="D86"/>
        </row>
        <row r="87">
          <cell r="A87">
            <v>583</v>
          </cell>
          <cell r="B87" t="str">
            <v>INGRESOS EXTRAORDINARIOS</v>
          </cell>
          <cell r="C87"/>
          <cell r="D87"/>
        </row>
        <row r="88">
          <cell r="A88">
            <v>584</v>
          </cell>
          <cell r="B88" t="str">
            <v>INGRESOS DERIVADOS DEL 5 AL MILLAR (OBRA)</v>
          </cell>
          <cell r="C88"/>
          <cell r="D88"/>
        </row>
        <row r="89">
          <cell r="A89">
            <v>585</v>
          </cell>
          <cell r="B89" t="str">
            <v>INGRESOS EXT Ramo 23 ( Provisiones Salariales y Económicas )</v>
          </cell>
          <cell r="C89"/>
          <cell r="D89"/>
        </row>
        <row r="90">
          <cell r="A90">
            <v>586</v>
          </cell>
          <cell r="B90" t="str">
            <v>INGRESOS EXT Ramo 21 (TURISMO)</v>
          </cell>
          <cell r="C90"/>
          <cell r="D90"/>
        </row>
        <row r="91">
          <cell r="A91">
            <v>587</v>
          </cell>
          <cell r="B91" t="str">
            <v>INGRESOS EXT Ramo 11 (SEP)</v>
          </cell>
          <cell r="C91"/>
          <cell r="D91"/>
        </row>
        <row r="92">
          <cell r="A92">
            <v>588</v>
          </cell>
          <cell r="B92" t="str">
            <v>INGRESOS EXT Ramo 09 (SCT)</v>
          </cell>
          <cell r="C92"/>
          <cell r="D92"/>
        </row>
        <row r="93">
          <cell r="A93">
            <v>589</v>
          </cell>
          <cell r="B93" t="str">
            <v>INGRESOS EXT Ramo 16 (SEMARNAT)</v>
          </cell>
          <cell r="C93"/>
          <cell r="D93"/>
        </row>
        <row r="94">
          <cell r="A94">
            <v>590</v>
          </cell>
          <cell r="B94" t="str">
            <v>INGRESOS EXT FORTASEG Ramo 04 (GOBERNACIÓN)</v>
          </cell>
          <cell r="C94"/>
          <cell r="D94"/>
        </row>
        <row r="95">
          <cell r="A95">
            <v>591</v>
          </cell>
          <cell r="B95" t="str">
            <v>INGRESOS EXT Ramo 20 (BIENESTAR)</v>
          </cell>
          <cell r="C95"/>
          <cell r="D95"/>
        </row>
        <row r="96">
          <cell r="A96">
            <v>598</v>
          </cell>
          <cell r="B96" t="str">
            <v>REMANENTE FONE 2016</v>
          </cell>
          <cell r="C96"/>
          <cell r="D96"/>
        </row>
        <row r="97">
          <cell r="A97">
            <v>599</v>
          </cell>
          <cell r="B97" t="str">
            <v>REMANENTE FONE 2015</v>
          </cell>
          <cell r="C97"/>
          <cell r="D97"/>
        </row>
        <row r="98">
          <cell r="A98">
            <v>700</v>
          </cell>
          <cell r="B98" t="str">
            <v>OTROS RECURSOS</v>
          </cell>
          <cell r="C98"/>
          <cell r="D98"/>
        </row>
        <row r="99">
          <cell r="A99">
            <v>736</v>
          </cell>
          <cell r="B99" t="str">
            <v>RENDIMIENTOS FONE</v>
          </cell>
          <cell r="C99"/>
          <cell r="D99"/>
        </row>
        <row r="100">
          <cell r="A100">
            <v>737</v>
          </cell>
          <cell r="B100" t="str">
            <v>RENDIMIENTOS FAM</v>
          </cell>
          <cell r="C100"/>
          <cell r="D100"/>
        </row>
        <row r="101">
          <cell r="A101">
            <v>747</v>
          </cell>
          <cell r="B101" t="str">
            <v>RENDIMIENTOS FASP</v>
          </cell>
          <cell r="C101"/>
          <cell r="D101"/>
        </row>
        <row r="102">
          <cell r="A102">
            <v>783</v>
          </cell>
          <cell r="B102" t="str">
            <v>INGRESOS EXTRAORDINARIOS (OTROS)</v>
          </cell>
          <cell r="C102"/>
          <cell r="D102"/>
        </row>
      </sheetData>
      <sheetData sheetId="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AS 2000"/>
      <sheetName val="PAAS 3000"/>
      <sheetName val="PAAS 5000"/>
      <sheetName val="CAPITULO"/>
      <sheetName val="PARTIDA"/>
      <sheetName val="COG"/>
      <sheetName val="FF"/>
      <sheetName val="PROCED"/>
    </sheetNames>
    <sheetDataSet>
      <sheetData sheetId="0"/>
      <sheetData sheetId="1"/>
      <sheetData sheetId="2"/>
      <sheetData sheetId="3"/>
      <sheetData sheetId="4">
        <row r="2">
          <cell r="H2" t="str">
            <v>MATERIALES</v>
          </cell>
        </row>
        <row r="3">
          <cell r="H3" t="str">
            <v>SERVICIOS</v>
          </cell>
        </row>
        <row r="4">
          <cell r="H4" t="str">
            <v>BIENES</v>
          </cell>
        </row>
      </sheetData>
      <sheetData sheetId="5"/>
      <sheetData sheetId="6"/>
      <sheetData sheetId="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AS 2000"/>
      <sheetName val="PAAS 3000"/>
      <sheetName val="PAAS 5000"/>
      <sheetName val="CAPITULO"/>
      <sheetName val="PARTIDA"/>
      <sheetName val="COG"/>
      <sheetName val="FF"/>
      <sheetName val="PROCED"/>
    </sheetNames>
    <sheetDataSet>
      <sheetData sheetId="0"/>
      <sheetData sheetId="1"/>
      <sheetData sheetId="2"/>
      <sheetData sheetId="3"/>
      <sheetData sheetId="4">
        <row r="2">
          <cell r="H2" t="str">
            <v>MATERIALES</v>
          </cell>
        </row>
        <row r="3">
          <cell r="H3" t="str">
            <v>SERVICIOS</v>
          </cell>
        </row>
        <row r="4">
          <cell r="H4" t="str">
            <v>BIENES</v>
          </cell>
        </row>
      </sheetData>
      <sheetData sheetId="5"/>
      <sheetData sheetId="6"/>
      <sheetData sheetId="7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AS"/>
      <sheetName val="CAPITULO"/>
      <sheetName val="PARTIDA"/>
      <sheetName val="COG"/>
      <sheetName val="FF"/>
      <sheetName val="PROCED"/>
    </sheetNames>
    <sheetDataSet>
      <sheetData sheetId="0"/>
      <sheetData sheetId="1"/>
      <sheetData sheetId="2">
        <row r="2">
          <cell r="H2" t="str">
            <v>MATERIALES</v>
          </cell>
        </row>
        <row r="3">
          <cell r="H3" t="str">
            <v>SERVICIOS</v>
          </cell>
        </row>
        <row r="4">
          <cell r="H4" t="str">
            <v>BIENES</v>
          </cell>
        </row>
      </sheetData>
      <sheetData sheetId="3">
        <row r="1">
          <cell r="A1" t="str">
            <v>CUENTA</v>
          </cell>
          <cell r="B1" t="str">
            <v>CONCEPTO</v>
          </cell>
          <cell r="C1" t="str">
            <v>AFECTABLE/ NO
AFECTABLE</v>
          </cell>
        </row>
        <row r="2">
          <cell r="A2">
            <v>210000</v>
          </cell>
          <cell r="B2" t="str">
            <v>MATERIALES DE ADMINISTRACIÓN, EMISIÓN DE DOCUMENTOS Y ARTÍCULO OFICIALES</v>
          </cell>
          <cell r="C2" t="str">
            <v>N</v>
          </cell>
        </row>
        <row r="3">
          <cell r="A3">
            <v>211000</v>
          </cell>
          <cell r="B3" t="str">
            <v>Materiales, útiles y equipos menores de oficina</v>
          </cell>
          <cell r="C3" t="str">
            <v>N</v>
          </cell>
        </row>
        <row r="4">
          <cell r="A4">
            <v>211001</v>
          </cell>
          <cell r="B4" t="str">
            <v>Material de oficina</v>
          </cell>
          <cell r="C4" t="str">
            <v>S</v>
          </cell>
        </row>
        <row r="5">
          <cell r="A5">
            <v>212000</v>
          </cell>
          <cell r="B5" t="str">
            <v>Materiales y útiles de impresión y reproducción</v>
          </cell>
          <cell r="C5" t="str">
            <v>N</v>
          </cell>
        </row>
        <row r="6">
          <cell r="A6">
            <v>212001</v>
          </cell>
          <cell r="B6" t="str">
            <v>Material y útiles de impresión</v>
          </cell>
          <cell r="C6" t="str">
            <v>S</v>
          </cell>
        </row>
        <row r="7">
          <cell r="A7">
            <v>213000</v>
          </cell>
          <cell r="B7" t="str">
            <v>Material estadístico y geográfico</v>
          </cell>
          <cell r="C7" t="str">
            <v>N</v>
          </cell>
        </row>
        <row r="8">
          <cell r="A8">
            <v>213001</v>
          </cell>
          <cell r="B8" t="str">
            <v>Material estadístico y geográfico</v>
          </cell>
          <cell r="C8" t="str">
            <v>S</v>
          </cell>
        </row>
        <row r="9">
          <cell r="A9">
            <v>214000</v>
          </cell>
          <cell r="B9" t="str">
            <v>Materiales, útiles y equipos menores de tecnologías de la información y comunicaciones</v>
          </cell>
          <cell r="C9" t="str">
            <v>N</v>
          </cell>
        </row>
        <row r="10">
          <cell r="A10">
            <v>214001</v>
          </cell>
          <cell r="B10" t="str">
            <v>Materiales, útiles y equipos menores de tecnologías de la información y comunicaciones</v>
          </cell>
          <cell r="C10" t="str">
            <v>S</v>
          </cell>
        </row>
        <row r="11">
          <cell r="A11">
            <v>215000</v>
          </cell>
          <cell r="B11" t="str">
            <v>Material impreso e información digital</v>
          </cell>
          <cell r="C11" t="str">
            <v>N</v>
          </cell>
        </row>
        <row r="12">
          <cell r="A12">
            <v>215001</v>
          </cell>
          <cell r="B12" t="str">
            <v>Material didáctico</v>
          </cell>
          <cell r="C12" t="str">
            <v>S</v>
          </cell>
        </row>
        <row r="13">
          <cell r="A13">
            <v>215002</v>
          </cell>
          <cell r="B13" t="str">
            <v>Suscripciones a Periódicos, Revistas y Publicaciones Especializadas</v>
          </cell>
          <cell r="C13" t="str">
            <v>S</v>
          </cell>
        </row>
        <row r="14">
          <cell r="A14">
            <v>215003</v>
          </cell>
          <cell r="B14" t="str">
            <v>Material impreso e información digital</v>
          </cell>
          <cell r="C14" t="str">
            <v>S</v>
          </cell>
        </row>
        <row r="15">
          <cell r="A15">
            <v>216000</v>
          </cell>
          <cell r="B15" t="str">
            <v>Material de limpieza</v>
          </cell>
          <cell r="C15" t="str">
            <v>N</v>
          </cell>
        </row>
        <row r="16">
          <cell r="A16">
            <v>216001</v>
          </cell>
          <cell r="B16" t="str">
            <v>Material de limpieza</v>
          </cell>
          <cell r="C16" t="str">
            <v>S</v>
          </cell>
        </row>
        <row r="17">
          <cell r="A17">
            <v>217000</v>
          </cell>
          <cell r="B17" t="str">
            <v>Materiales y útiles de enseñanza</v>
          </cell>
          <cell r="C17" t="str">
            <v>N</v>
          </cell>
        </row>
        <row r="18">
          <cell r="A18">
            <v>217001</v>
          </cell>
          <cell r="B18" t="str">
            <v>Materiales y útiles de enseñanza</v>
          </cell>
          <cell r="C18" t="str">
            <v>S</v>
          </cell>
        </row>
        <row r="19">
          <cell r="A19">
            <v>218000</v>
          </cell>
          <cell r="B19" t="str">
            <v>Materiales para el registro e identificación de bienes y personas</v>
          </cell>
          <cell r="C19" t="str">
            <v>N</v>
          </cell>
        </row>
        <row r="20">
          <cell r="A20">
            <v>218001</v>
          </cell>
          <cell r="B20" t="str">
            <v>Materiales para el registro e identificación de bienes y personas</v>
          </cell>
          <cell r="C20" t="str">
            <v>S</v>
          </cell>
        </row>
        <row r="21">
          <cell r="A21">
            <v>218002</v>
          </cell>
          <cell r="B21" t="str">
            <v>Placas, Engomados, Calcomanías y Hologramas</v>
          </cell>
          <cell r="C21" t="str">
            <v>S</v>
          </cell>
        </row>
        <row r="22">
          <cell r="A22">
            <v>218003</v>
          </cell>
          <cell r="B22" t="str">
            <v>Emisión de Licencias de Conducir</v>
          </cell>
          <cell r="C22" t="str">
            <v>S</v>
          </cell>
        </row>
        <row r="23">
          <cell r="A23">
            <v>218004</v>
          </cell>
          <cell r="B23" t="str">
            <v>Emisión de Formatos Únicos de Control Vehicular</v>
          </cell>
          <cell r="C23" t="str">
            <v>S</v>
          </cell>
        </row>
        <row r="24">
          <cell r="A24">
            <v>220000</v>
          </cell>
          <cell r="B24" t="str">
            <v>ALIMENTOS Y UTENSILIOS</v>
          </cell>
          <cell r="C24" t="str">
            <v>N</v>
          </cell>
        </row>
        <row r="25">
          <cell r="A25">
            <v>221000</v>
          </cell>
          <cell r="B25" t="str">
            <v>Productos alimenticios para personas</v>
          </cell>
          <cell r="C25" t="str">
            <v>N</v>
          </cell>
        </row>
        <row r="26">
          <cell r="A26">
            <v>221001</v>
          </cell>
          <cell r="B26" t="str">
            <v>Alimentación de personas</v>
          </cell>
          <cell r="C26" t="str">
            <v>S</v>
          </cell>
        </row>
        <row r="27">
          <cell r="A27">
            <v>222000</v>
          </cell>
          <cell r="B27" t="str">
            <v>Productos alimenticios para animales</v>
          </cell>
          <cell r="C27" t="str">
            <v>N</v>
          </cell>
        </row>
        <row r="28">
          <cell r="A28">
            <v>222001</v>
          </cell>
          <cell r="B28" t="str">
            <v>Alimentación de animales</v>
          </cell>
          <cell r="C28" t="str">
            <v>S</v>
          </cell>
        </row>
        <row r="29">
          <cell r="A29">
            <v>223000</v>
          </cell>
          <cell r="B29" t="str">
            <v>Utensilios para el servicio de alimentación</v>
          </cell>
          <cell r="C29" t="str">
            <v>N</v>
          </cell>
        </row>
        <row r="30">
          <cell r="A30">
            <v>223001</v>
          </cell>
          <cell r="B30" t="str">
            <v>Utensilios para el servicio de alimentación</v>
          </cell>
          <cell r="C30" t="str">
            <v>S</v>
          </cell>
        </row>
        <row r="31">
          <cell r="A31">
            <v>230000</v>
          </cell>
          <cell r="B31" t="str">
            <v>MATERIAS PRIMAS Y MATERIALES DE PRODUCCIÓN Y COMERCIALIZACIÓN</v>
          </cell>
          <cell r="C31" t="str">
            <v>N</v>
          </cell>
        </row>
        <row r="32">
          <cell r="A32">
            <v>231000</v>
          </cell>
          <cell r="B32" t="str">
            <v>Productos alimenticios, agropecuarios y forestales adquiridos como materia prima</v>
          </cell>
          <cell r="C32" t="str">
            <v>N</v>
          </cell>
        </row>
        <row r="33">
          <cell r="A33">
            <v>231001</v>
          </cell>
          <cell r="B33" t="str">
            <v>Materias primas para producción</v>
          </cell>
          <cell r="C33" t="str">
            <v>S</v>
          </cell>
        </row>
        <row r="34">
          <cell r="A34">
            <v>232000</v>
          </cell>
          <cell r="B34" t="str">
            <v>Insumos textiles adquiridos como materia prima</v>
          </cell>
          <cell r="C34" t="str">
            <v>N</v>
          </cell>
        </row>
        <row r="35">
          <cell r="A35">
            <v>232001</v>
          </cell>
          <cell r="B35" t="str">
            <v>Insumos textiles adquiridos como materia prima</v>
          </cell>
          <cell r="C35" t="str">
            <v>S</v>
          </cell>
        </row>
        <row r="36">
          <cell r="A36">
            <v>233000</v>
          </cell>
          <cell r="B36" t="str">
            <v>Productos de papel, cartón e impresos adquiridos como materia prima</v>
          </cell>
          <cell r="C36" t="str">
            <v>N</v>
          </cell>
        </row>
        <row r="37">
          <cell r="A37">
            <v>233001</v>
          </cell>
          <cell r="B37" t="str">
            <v>Productos de papel, cartón e impresos adquiridos como materia prima</v>
          </cell>
          <cell r="C37" t="str">
            <v>S</v>
          </cell>
        </row>
        <row r="38">
          <cell r="A38">
            <v>234000</v>
          </cell>
          <cell r="B38" t="str">
            <v>Combustibles, lubricantes, aditivos, carbón y sus derivados adquiridos como materia prima</v>
          </cell>
          <cell r="C38" t="str">
            <v>N</v>
          </cell>
        </row>
        <row r="39">
          <cell r="A39">
            <v>234001</v>
          </cell>
          <cell r="B39" t="str">
            <v>Combustibles, lubricantes, aditivos, carbón y sus derivados adquiridos como materia prima</v>
          </cell>
          <cell r="C39" t="str">
            <v>S</v>
          </cell>
        </row>
        <row r="40">
          <cell r="A40">
            <v>235000</v>
          </cell>
          <cell r="B40" t="str">
            <v>Productos químicos, farmacéuticos y de laboratorio adquiridos como materia prima</v>
          </cell>
          <cell r="C40" t="str">
            <v>N</v>
          </cell>
        </row>
        <row r="41">
          <cell r="A41">
            <v>235001</v>
          </cell>
          <cell r="B41" t="str">
            <v>Productos químicos, farmacéuticos y de laboratorio adquiridos como materia prima</v>
          </cell>
          <cell r="C41" t="str">
            <v>S</v>
          </cell>
        </row>
        <row r="42">
          <cell r="A42">
            <v>236000</v>
          </cell>
          <cell r="B42" t="str">
            <v>Productos metálicos y a base de minerales no metálicos adquiridos como materia prima</v>
          </cell>
          <cell r="C42" t="str">
            <v>N</v>
          </cell>
        </row>
        <row r="43">
          <cell r="A43">
            <v>236001</v>
          </cell>
          <cell r="B43" t="str">
            <v>Productos metálicos y a base de minerales no metálicos adquiridos como materia prima</v>
          </cell>
          <cell r="C43" t="str">
            <v>S</v>
          </cell>
        </row>
        <row r="44">
          <cell r="A44">
            <v>237000</v>
          </cell>
          <cell r="B44" t="str">
            <v>Productos de cuero, piel, plástico y hule adquiridos como materia prima</v>
          </cell>
          <cell r="C44" t="str">
            <v>N</v>
          </cell>
        </row>
        <row r="45">
          <cell r="A45">
            <v>237001</v>
          </cell>
          <cell r="B45" t="str">
            <v>Productos de cuero, piel, plástico y hule adquiridos como materia prima</v>
          </cell>
          <cell r="C45" t="str">
            <v>S</v>
          </cell>
        </row>
        <row r="46">
          <cell r="A46">
            <v>238000</v>
          </cell>
          <cell r="B46" t="str">
            <v>Mercancías adquiridas para su comercialización</v>
          </cell>
          <cell r="C46" t="str">
            <v>N</v>
          </cell>
        </row>
        <row r="47">
          <cell r="A47">
            <v>238001</v>
          </cell>
          <cell r="B47" t="str">
            <v>Mercancías adquiridas para su comercialización</v>
          </cell>
          <cell r="C47" t="str">
            <v>S</v>
          </cell>
        </row>
        <row r="48">
          <cell r="A48">
            <v>240000</v>
          </cell>
          <cell r="B48" t="str">
            <v>MATERIALES Y ARTÍCULOS DE CONSTRUCCIÓN Y DE REPARACIÓN</v>
          </cell>
          <cell r="C48" t="str">
            <v>N</v>
          </cell>
        </row>
        <row r="49">
          <cell r="A49">
            <v>241000</v>
          </cell>
          <cell r="B49" t="str">
            <v>Productos minerales no metálicos</v>
          </cell>
          <cell r="C49" t="str">
            <v>N</v>
          </cell>
        </row>
        <row r="50">
          <cell r="A50">
            <v>241001</v>
          </cell>
          <cell r="B50" t="str">
            <v>Productos minerales no metálicos</v>
          </cell>
          <cell r="C50" t="str">
            <v>S</v>
          </cell>
        </row>
        <row r="51">
          <cell r="A51">
            <v>242000</v>
          </cell>
          <cell r="B51" t="str">
            <v>Cemento y productos de concreto</v>
          </cell>
          <cell r="C51" t="str">
            <v>N</v>
          </cell>
        </row>
        <row r="52">
          <cell r="A52">
            <v>242001</v>
          </cell>
          <cell r="B52" t="str">
            <v>Cemento y productos de concreto</v>
          </cell>
          <cell r="C52" t="str">
            <v>S</v>
          </cell>
        </row>
        <row r="53">
          <cell r="A53">
            <v>243000</v>
          </cell>
          <cell r="B53" t="str">
            <v>Cal, yeso y productos de yeso</v>
          </cell>
          <cell r="C53" t="str">
            <v>N</v>
          </cell>
        </row>
        <row r="54">
          <cell r="A54">
            <v>243001</v>
          </cell>
          <cell r="B54" t="str">
            <v>Cal, yeso y productos de yeso</v>
          </cell>
          <cell r="C54" t="str">
            <v>S</v>
          </cell>
        </row>
        <row r="55">
          <cell r="A55">
            <v>244000</v>
          </cell>
          <cell r="B55" t="str">
            <v>Madera y productos de madera</v>
          </cell>
          <cell r="C55" t="str">
            <v>N</v>
          </cell>
        </row>
        <row r="56">
          <cell r="A56">
            <v>244001</v>
          </cell>
          <cell r="B56" t="str">
            <v>Madera y productos de madera</v>
          </cell>
          <cell r="C56" t="str">
            <v>S</v>
          </cell>
        </row>
        <row r="57">
          <cell r="A57">
            <v>245000</v>
          </cell>
          <cell r="B57" t="str">
            <v>Vidrio y productos de vidrio</v>
          </cell>
          <cell r="C57" t="str">
            <v>N</v>
          </cell>
        </row>
        <row r="58">
          <cell r="A58">
            <v>245001</v>
          </cell>
          <cell r="B58" t="str">
            <v>Vidrio y productos de vidrio</v>
          </cell>
          <cell r="C58" t="str">
            <v>S</v>
          </cell>
        </row>
        <row r="59">
          <cell r="A59">
            <v>246000</v>
          </cell>
          <cell r="B59" t="str">
            <v>Material eléctrico y electrónico</v>
          </cell>
          <cell r="C59" t="str">
            <v>N</v>
          </cell>
        </row>
        <row r="60">
          <cell r="A60">
            <v>246001</v>
          </cell>
          <cell r="B60" t="str">
            <v>Material eléctrico</v>
          </cell>
          <cell r="C60" t="str">
            <v>S</v>
          </cell>
        </row>
        <row r="61">
          <cell r="A61">
            <v>246002</v>
          </cell>
          <cell r="B61" t="str">
            <v>Material electrónico</v>
          </cell>
          <cell r="C61" t="str">
            <v>S</v>
          </cell>
        </row>
        <row r="62">
          <cell r="A62">
            <v>247000</v>
          </cell>
          <cell r="B62" t="str">
            <v>Artículos metálicos para la construcción</v>
          </cell>
          <cell r="C62" t="str">
            <v>N</v>
          </cell>
        </row>
        <row r="63">
          <cell r="A63">
            <v>247001</v>
          </cell>
          <cell r="B63" t="str">
            <v>Artículos metálicos para la construcción</v>
          </cell>
          <cell r="C63" t="str">
            <v>S</v>
          </cell>
        </row>
        <row r="64">
          <cell r="A64">
            <v>248000</v>
          </cell>
          <cell r="B64" t="str">
            <v>Materiales complementarios</v>
          </cell>
          <cell r="C64" t="str">
            <v>N</v>
          </cell>
        </row>
        <row r="65">
          <cell r="A65">
            <v>248001</v>
          </cell>
          <cell r="B65" t="str">
            <v>Materiales complementarios</v>
          </cell>
          <cell r="C65" t="str">
            <v>S</v>
          </cell>
        </row>
        <row r="66">
          <cell r="A66">
            <v>249000</v>
          </cell>
          <cell r="B66" t="str">
            <v>Otros materiales y artículos de construcción y reparación</v>
          </cell>
          <cell r="C66" t="str">
            <v>N</v>
          </cell>
        </row>
        <row r="67">
          <cell r="A67">
            <v>249001</v>
          </cell>
          <cell r="B67" t="str">
            <v>Materiales de construcción y complementarios</v>
          </cell>
          <cell r="C67" t="str">
            <v>S</v>
          </cell>
        </row>
        <row r="68">
          <cell r="A68">
            <v>249002</v>
          </cell>
          <cell r="B68" t="str">
            <v>Otros materiales de construcción y reparación</v>
          </cell>
          <cell r="C68" t="str">
            <v>S</v>
          </cell>
        </row>
        <row r="69">
          <cell r="A69">
            <v>250000</v>
          </cell>
          <cell r="B69" t="str">
            <v>PRODUCTOS QUÍMICOS, FARMACÉUTICOS Y DE LABORATORIO</v>
          </cell>
          <cell r="C69" t="str">
            <v>N</v>
          </cell>
        </row>
        <row r="70">
          <cell r="A70">
            <v>251000</v>
          </cell>
          <cell r="B70" t="str">
            <v>Productos químicos básicos</v>
          </cell>
          <cell r="C70" t="str">
            <v>N</v>
          </cell>
        </row>
        <row r="71">
          <cell r="A71">
            <v>251001</v>
          </cell>
          <cell r="B71" t="str">
            <v>Gas Refrigerante</v>
          </cell>
          <cell r="C71" t="str">
            <v>S</v>
          </cell>
        </row>
        <row r="72">
          <cell r="A72">
            <v>252000</v>
          </cell>
          <cell r="B72" t="str">
            <v>Fertilizantes, pesticidas y otros agroquímicos</v>
          </cell>
          <cell r="C72" t="str">
            <v>N</v>
          </cell>
        </row>
        <row r="73">
          <cell r="A73">
            <v>252001</v>
          </cell>
          <cell r="B73" t="str">
            <v>Fertilizantes, pesticidas y otros agroquímicos</v>
          </cell>
          <cell r="C73" t="str">
            <v>S</v>
          </cell>
        </row>
        <row r="74">
          <cell r="A74">
            <v>253000</v>
          </cell>
          <cell r="B74" t="str">
            <v>Medicinas y productos químicos, farmacéuticos</v>
          </cell>
          <cell r="C74" t="str">
            <v>N</v>
          </cell>
        </row>
        <row r="75">
          <cell r="A75">
            <v>253001</v>
          </cell>
          <cell r="B75" t="str">
            <v>Material y productos químicos, farmacéuticos</v>
          </cell>
          <cell r="C75" t="str">
            <v>S</v>
          </cell>
        </row>
        <row r="76">
          <cell r="A76">
            <v>254000</v>
          </cell>
          <cell r="B76" t="str">
            <v>Materiales, accesorios y suministros médicos</v>
          </cell>
          <cell r="C76" t="str">
            <v>N</v>
          </cell>
        </row>
        <row r="77">
          <cell r="A77">
            <v>254001</v>
          </cell>
          <cell r="B77" t="str">
            <v>Materiales, accesorios y suministros médicos</v>
          </cell>
          <cell r="C77" t="str">
            <v>S</v>
          </cell>
        </row>
        <row r="78">
          <cell r="A78">
            <v>255000</v>
          </cell>
          <cell r="B78" t="str">
            <v>Materiales, accesorios y suministros de laboratorio</v>
          </cell>
          <cell r="C78" t="str">
            <v>N</v>
          </cell>
        </row>
        <row r="79">
          <cell r="A79">
            <v>255001</v>
          </cell>
          <cell r="B79" t="str">
            <v>Materiales, accesorios y suministros de laboratorio</v>
          </cell>
          <cell r="C79" t="str">
            <v>S</v>
          </cell>
        </row>
        <row r="80">
          <cell r="A80">
            <v>256000</v>
          </cell>
          <cell r="B80" t="str">
            <v>Fibras sintéticas, hules, plásticos y derivados</v>
          </cell>
          <cell r="C80" t="str">
            <v>N</v>
          </cell>
        </row>
        <row r="81">
          <cell r="A81">
            <v>256001</v>
          </cell>
          <cell r="B81" t="str">
            <v>Fibras sintéticas, hules, plásticos y derivados</v>
          </cell>
          <cell r="C81" t="str">
            <v>S</v>
          </cell>
        </row>
        <row r="82">
          <cell r="A82">
            <v>259000</v>
          </cell>
          <cell r="B82" t="str">
            <v>Otros productos químicos</v>
          </cell>
          <cell r="C82" t="str">
            <v>N</v>
          </cell>
        </row>
        <row r="83">
          <cell r="A83">
            <v>259001</v>
          </cell>
          <cell r="B83" t="str">
            <v>Otros productos químicos</v>
          </cell>
          <cell r="C83" t="str">
            <v>S</v>
          </cell>
        </row>
        <row r="84">
          <cell r="A84">
            <v>260000</v>
          </cell>
          <cell r="B84" t="str">
            <v>COMBUSTIBLES, LUBRICANTES Y ADITIVOS</v>
          </cell>
          <cell r="C84" t="str">
            <v>N</v>
          </cell>
        </row>
        <row r="85">
          <cell r="A85">
            <v>261000</v>
          </cell>
          <cell r="B85" t="str">
            <v>Combustibles, lubricantes y aditivos</v>
          </cell>
          <cell r="C85" t="str">
            <v>N</v>
          </cell>
        </row>
        <row r="86">
          <cell r="A86">
            <v>261001</v>
          </cell>
          <cell r="B86" t="str">
            <v>Combustibles</v>
          </cell>
          <cell r="C86" t="str">
            <v>S</v>
          </cell>
        </row>
        <row r="87">
          <cell r="A87">
            <v>261002</v>
          </cell>
          <cell r="B87" t="str">
            <v>Lubricantes y aditivos</v>
          </cell>
          <cell r="C87" t="str">
            <v>S</v>
          </cell>
        </row>
        <row r="88">
          <cell r="A88">
            <v>262000</v>
          </cell>
          <cell r="B88" t="str">
            <v>Carbón y sus derivados</v>
          </cell>
          <cell r="C88" t="str">
            <v>N</v>
          </cell>
        </row>
        <row r="89">
          <cell r="A89">
            <v>262001</v>
          </cell>
          <cell r="B89" t="str">
            <v>Carbón y sus derivados</v>
          </cell>
          <cell r="C89" t="str">
            <v>S</v>
          </cell>
        </row>
        <row r="90">
          <cell r="A90">
            <v>270000</v>
          </cell>
          <cell r="B90" t="str">
            <v>VESTUARIO, BLANCOS, PRENDAS DE PROTECCIÓN Y ARTÍCULOS DEPORTIVOS</v>
          </cell>
          <cell r="C90" t="str">
            <v>N</v>
          </cell>
        </row>
        <row r="91">
          <cell r="A91">
            <v>271000</v>
          </cell>
          <cell r="B91" t="str">
            <v>Vestuario y uniformes</v>
          </cell>
          <cell r="C91" t="str">
            <v>N</v>
          </cell>
        </row>
        <row r="92">
          <cell r="A92">
            <v>271001</v>
          </cell>
          <cell r="B92" t="str">
            <v>Ropa, vestuario y equipo</v>
          </cell>
          <cell r="C92" t="str">
            <v>S</v>
          </cell>
        </row>
        <row r="93">
          <cell r="A93">
            <v>272000</v>
          </cell>
          <cell r="B93" t="str">
            <v>Prendas de seguridad y protección personal</v>
          </cell>
          <cell r="C93" t="str">
            <v>N</v>
          </cell>
        </row>
        <row r="94">
          <cell r="A94">
            <v>272001</v>
          </cell>
          <cell r="B94" t="str">
            <v>Materiales explosivos y de seguridad pública</v>
          </cell>
          <cell r="C94" t="str">
            <v>S</v>
          </cell>
        </row>
        <row r="95">
          <cell r="A95">
            <v>272002</v>
          </cell>
          <cell r="B95" t="str">
            <v>Prendas de seguridad y protección personal</v>
          </cell>
          <cell r="C95" t="str">
            <v>S</v>
          </cell>
        </row>
        <row r="96">
          <cell r="A96">
            <v>273000</v>
          </cell>
          <cell r="B96" t="str">
            <v>Artículos deportivos</v>
          </cell>
          <cell r="C96" t="str">
            <v>N</v>
          </cell>
        </row>
        <row r="97">
          <cell r="A97">
            <v>273001</v>
          </cell>
          <cell r="B97" t="str">
            <v>Artículos deportivos</v>
          </cell>
          <cell r="C97" t="str">
            <v>S</v>
          </cell>
        </row>
        <row r="98">
          <cell r="A98">
            <v>274000</v>
          </cell>
          <cell r="B98" t="str">
            <v>Productos textiles</v>
          </cell>
          <cell r="C98" t="str">
            <v>N</v>
          </cell>
        </row>
        <row r="99">
          <cell r="A99">
            <v>274001</v>
          </cell>
          <cell r="B99" t="str">
            <v>Productos textiles</v>
          </cell>
          <cell r="C99" t="str">
            <v>S</v>
          </cell>
        </row>
        <row r="100">
          <cell r="A100">
            <v>275000</v>
          </cell>
          <cell r="B100" t="str">
            <v>Blancos y otros productos textiles, excepto prendas de vestir</v>
          </cell>
          <cell r="C100" t="str">
            <v>N</v>
          </cell>
        </row>
        <row r="101">
          <cell r="A101">
            <v>275001</v>
          </cell>
          <cell r="B101" t="str">
            <v>Blancos y otros productos textiles, excepto prendas de vestir</v>
          </cell>
          <cell r="C101" t="str">
            <v>S</v>
          </cell>
        </row>
        <row r="102">
          <cell r="A102">
            <v>280000</v>
          </cell>
          <cell r="B102" t="str">
            <v>MATERIALES Y SUMINISTROS PARA SEGURIDAD</v>
          </cell>
          <cell r="C102" t="str">
            <v>N</v>
          </cell>
        </row>
        <row r="103">
          <cell r="A103">
            <v>281000</v>
          </cell>
          <cell r="B103" t="str">
            <v>Sustancias y materiales explosivos</v>
          </cell>
          <cell r="C103" t="str">
            <v>N</v>
          </cell>
        </row>
        <row r="104">
          <cell r="A104">
            <v>281001</v>
          </cell>
          <cell r="B104" t="str">
            <v>Sustancias y materiales explosivos</v>
          </cell>
          <cell r="C104" t="str">
            <v>S</v>
          </cell>
        </row>
        <row r="105">
          <cell r="A105">
            <v>282000</v>
          </cell>
          <cell r="B105" t="str">
            <v>Materiales de seguridad pública</v>
          </cell>
          <cell r="C105" t="str">
            <v>N</v>
          </cell>
        </row>
        <row r="106">
          <cell r="A106">
            <v>282001</v>
          </cell>
          <cell r="B106" t="str">
            <v>Materiales de seguridad pública</v>
          </cell>
          <cell r="C106" t="str">
            <v>S</v>
          </cell>
        </row>
        <row r="107">
          <cell r="A107">
            <v>283000</v>
          </cell>
          <cell r="B107" t="str">
            <v>Prendas de protección para seguridad pública y nacional</v>
          </cell>
          <cell r="C107" t="str">
            <v>N</v>
          </cell>
        </row>
        <row r="108">
          <cell r="A108">
            <v>283001</v>
          </cell>
          <cell r="B108" t="str">
            <v>Prendas de protección para seguridad pública</v>
          </cell>
          <cell r="C108" t="str">
            <v>S</v>
          </cell>
        </row>
        <row r="109">
          <cell r="A109">
            <v>290000</v>
          </cell>
          <cell r="B109" t="str">
            <v>HERRAMIENTAS, REFACCIONES Y ACCESORIOS MENORES</v>
          </cell>
          <cell r="C109" t="str">
            <v>N</v>
          </cell>
        </row>
        <row r="110">
          <cell r="A110">
            <v>291000</v>
          </cell>
          <cell r="B110" t="str">
            <v>Herramientas menores</v>
          </cell>
          <cell r="C110" t="str">
            <v>N</v>
          </cell>
        </row>
        <row r="111">
          <cell r="A111">
            <v>291001</v>
          </cell>
          <cell r="B111" t="str">
            <v>Herramientas Auxiliares de Trabajo</v>
          </cell>
          <cell r="C111" t="str">
            <v>S</v>
          </cell>
        </row>
        <row r="112">
          <cell r="A112">
            <v>292000</v>
          </cell>
          <cell r="B112" t="str">
            <v>Refacciones y accesorios menores de edificios</v>
          </cell>
          <cell r="C112" t="str">
            <v>N</v>
          </cell>
        </row>
        <row r="113">
          <cell r="A113">
            <v>292001</v>
          </cell>
          <cell r="B113" t="str">
            <v>Refacciones y accesorios menores de edificios (candados, cerraduras, chapas, llaves)</v>
          </cell>
          <cell r="C113" t="str">
            <v>S</v>
          </cell>
        </row>
        <row r="114">
          <cell r="A114">
            <v>293000</v>
          </cell>
          <cell r="B114" t="str">
            <v>Refacciones y accesorios menores de mobiliario y equipo de administración, educacional y recreativo</v>
          </cell>
          <cell r="C114" t="str">
            <v>N</v>
          </cell>
        </row>
        <row r="115">
          <cell r="A115">
            <v>293001</v>
          </cell>
          <cell r="B115" t="str">
            <v>Refacciones y accesorios menores de mobiliario y equipo de administración, educacional y recreativo</v>
          </cell>
          <cell r="C115" t="str">
            <v>S</v>
          </cell>
        </row>
        <row r="116">
          <cell r="A116">
            <v>294000</v>
          </cell>
          <cell r="B116" t="str">
            <v>Refacciones y accesorios menores de equipo de cómputo y tecnologías de la información</v>
          </cell>
          <cell r="C116" t="str">
            <v>N</v>
          </cell>
        </row>
        <row r="117">
          <cell r="A117">
            <v>294001</v>
          </cell>
          <cell r="B117" t="str">
            <v>Dispositivos Internos y Externos de Equipo de Computo</v>
          </cell>
          <cell r="C117" t="str">
            <v>S</v>
          </cell>
        </row>
        <row r="118">
          <cell r="A118">
            <v>294002</v>
          </cell>
          <cell r="B118" t="str">
            <v>Refacciones y Accesorios Menores de Equipo de Computo</v>
          </cell>
          <cell r="C118" t="str">
            <v>S</v>
          </cell>
        </row>
        <row r="119">
          <cell r="A119">
            <v>295000</v>
          </cell>
          <cell r="B119" t="str">
            <v>Refacciones y accesorios menores de equipo e instrumental médico y de laboratorio</v>
          </cell>
          <cell r="C119" t="str">
            <v>N</v>
          </cell>
        </row>
        <row r="120">
          <cell r="A120">
            <v>295001</v>
          </cell>
          <cell r="B120" t="str">
            <v>Refacciones y accesorios menores de equipo e instrumental médico y de laboratorio</v>
          </cell>
          <cell r="C120" t="str">
            <v>S</v>
          </cell>
        </row>
        <row r="121">
          <cell r="A121">
            <v>296000</v>
          </cell>
          <cell r="B121" t="str">
            <v>Refacciones y accesorios menores de equipo de transporte</v>
          </cell>
          <cell r="C121" t="str">
            <v>N</v>
          </cell>
        </row>
        <row r="122">
          <cell r="A122">
            <v>296001</v>
          </cell>
          <cell r="B122" t="str">
            <v>Herramientas, refacciones y accesorios</v>
          </cell>
          <cell r="C122" t="str">
            <v>S</v>
          </cell>
        </row>
        <row r="123">
          <cell r="A123">
            <v>297000</v>
          </cell>
          <cell r="B123" t="str">
            <v>Refacciones y accesorios menores de equipo de defensa y seguridad</v>
          </cell>
          <cell r="C123" t="str">
            <v>N</v>
          </cell>
        </row>
        <row r="124">
          <cell r="A124">
            <v>297001</v>
          </cell>
          <cell r="B124" t="str">
            <v>Refacciones y accesorios menores de equipo de defensa y seguridad</v>
          </cell>
          <cell r="C124" t="str">
            <v>S</v>
          </cell>
        </row>
        <row r="125">
          <cell r="A125">
            <v>298000</v>
          </cell>
          <cell r="B125" t="str">
            <v>Refacciones y accesorios menores de maquinaria y otros equipos</v>
          </cell>
          <cell r="C125" t="str">
            <v>N</v>
          </cell>
        </row>
        <row r="126">
          <cell r="A126">
            <v>298001</v>
          </cell>
          <cell r="B126" t="str">
            <v>Refacciones y accesorios menores de maquinaria y otros equipos</v>
          </cell>
          <cell r="C126" t="str">
            <v>S</v>
          </cell>
        </row>
        <row r="127">
          <cell r="A127">
            <v>299000</v>
          </cell>
          <cell r="B127" t="str">
            <v>Refacciones y accesorios menores otros bienes muebles</v>
          </cell>
          <cell r="C127" t="str">
            <v>N</v>
          </cell>
        </row>
        <row r="128">
          <cell r="A128">
            <v>299001</v>
          </cell>
          <cell r="B128" t="str">
            <v>Refacciones y accesorios menores otros bienes muebles</v>
          </cell>
          <cell r="C128" t="str">
            <v>S</v>
          </cell>
        </row>
        <row r="129">
          <cell r="A129">
            <v>300000</v>
          </cell>
          <cell r="B129" t="str">
            <v>SERVICIOS GENERALES</v>
          </cell>
          <cell r="C129" t="str">
            <v>N</v>
          </cell>
        </row>
        <row r="130">
          <cell r="A130">
            <v>310000</v>
          </cell>
          <cell r="B130" t="str">
            <v>SERVICIOS BÁSICOS</v>
          </cell>
          <cell r="C130" t="str">
            <v>N</v>
          </cell>
        </row>
        <row r="131">
          <cell r="A131">
            <v>311000</v>
          </cell>
          <cell r="B131" t="str">
            <v>Energía eléctrica</v>
          </cell>
          <cell r="C131" t="str">
            <v>N</v>
          </cell>
        </row>
        <row r="132">
          <cell r="A132">
            <v>311001</v>
          </cell>
          <cell r="B132" t="str">
            <v>Servicio de energía eléctrica</v>
          </cell>
          <cell r="C132" t="str">
            <v>S</v>
          </cell>
        </row>
        <row r="133">
          <cell r="A133">
            <v>311002</v>
          </cell>
          <cell r="B133" t="str">
            <v>Contratación del servicio de energía eléctrica</v>
          </cell>
          <cell r="C133" t="str">
            <v>S</v>
          </cell>
        </row>
        <row r="134">
          <cell r="A134">
            <v>312000</v>
          </cell>
          <cell r="B134" t="str">
            <v>Gas</v>
          </cell>
          <cell r="C134" t="str">
            <v>N</v>
          </cell>
        </row>
        <row r="135">
          <cell r="A135">
            <v>312001</v>
          </cell>
          <cell r="B135" t="str">
            <v>Servicio de Gas L.P.</v>
          </cell>
          <cell r="C135" t="str">
            <v>S</v>
          </cell>
        </row>
        <row r="136">
          <cell r="A136">
            <v>313000</v>
          </cell>
          <cell r="B136" t="str">
            <v>Agua</v>
          </cell>
          <cell r="C136" t="str">
            <v>N</v>
          </cell>
        </row>
        <row r="137">
          <cell r="A137">
            <v>313001</v>
          </cell>
          <cell r="B137" t="str">
            <v>Servicio de agua potable</v>
          </cell>
          <cell r="C137" t="str">
            <v>S</v>
          </cell>
        </row>
        <row r="138">
          <cell r="A138">
            <v>313002</v>
          </cell>
          <cell r="B138" t="str">
            <v>Contratación del servicio de agua potable</v>
          </cell>
          <cell r="C138" t="str">
            <v>S</v>
          </cell>
        </row>
        <row r="139">
          <cell r="A139">
            <v>314000</v>
          </cell>
          <cell r="B139" t="str">
            <v>Telefonía tradicional</v>
          </cell>
          <cell r="C139" t="str">
            <v>N</v>
          </cell>
        </row>
        <row r="140">
          <cell r="A140">
            <v>314001</v>
          </cell>
          <cell r="B140" t="str">
            <v>Servicio telefónico</v>
          </cell>
          <cell r="C140" t="str">
            <v>S</v>
          </cell>
        </row>
        <row r="141">
          <cell r="A141">
            <v>315000</v>
          </cell>
          <cell r="B141" t="str">
            <v>Telefonía celular</v>
          </cell>
          <cell r="C141" t="str">
            <v>N</v>
          </cell>
        </row>
        <row r="142">
          <cell r="A142">
            <v>315001</v>
          </cell>
          <cell r="B142" t="str">
            <v>Telefonía celular</v>
          </cell>
          <cell r="C142" t="str">
            <v>S</v>
          </cell>
        </row>
        <row r="143">
          <cell r="A143">
            <v>316000</v>
          </cell>
          <cell r="B143" t="str">
            <v>Servicios de telecomunicaciones y satélites</v>
          </cell>
          <cell r="C143" t="str">
            <v>N</v>
          </cell>
        </row>
        <row r="144">
          <cell r="A144">
            <v>316001</v>
          </cell>
          <cell r="B144" t="str">
            <v>Servicios de telecomunicaciones y satélites</v>
          </cell>
          <cell r="C144" t="str">
            <v>S</v>
          </cell>
        </row>
        <row r="145">
          <cell r="A145">
            <v>317000</v>
          </cell>
          <cell r="B145" t="str">
            <v>Servicios de acceso de Internet, redes y procesamiento de información</v>
          </cell>
          <cell r="C145" t="str">
            <v>N</v>
          </cell>
        </row>
        <row r="146">
          <cell r="A146">
            <v>317001</v>
          </cell>
          <cell r="B146" t="str">
            <v>Servicios de acceso de Internet, redes y procesamiento de información</v>
          </cell>
          <cell r="C146" t="str">
            <v>S</v>
          </cell>
        </row>
        <row r="147">
          <cell r="A147">
            <v>318000</v>
          </cell>
          <cell r="B147" t="str">
            <v>Servicios postales y telegráficos</v>
          </cell>
          <cell r="C147" t="str">
            <v>N</v>
          </cell>
        </row>
        <row r="148">
          <cell r="A148">
            <v>318001</v>
          </cell>
          <cell r="B148" t="str">
            <v>Servicio postal y telegráfico</v>
          </cell>
          <cell r="C148" t="str">
            <v>S</v>
          </cell>
        </row>
        <row r="149">
          <cell r="A149">
            <v>319000</v>
          </cell>
          <cell r="B149" t="str">
            <v>Servicios integrales y otros servicios</v>
          </cell>
          <cell r="C149" t="str">
            <v>N</v>
          </cell>
        </row>
        <row r="150">
          <cell r="A150">
            <v>319001</v>
          </cell>
          <cell r="B150" t="str">
            <v>Servicios Integrales</v>
          </cell>
          <cell r="C150" t="str">
            <v>S</v>
          </cell>
        </row>
        <row r="151">
          <cell r="A151">
            <v>320000</v>
          </cell>
          <cell r="B151" t="str">
            <v>SERVICIOS DE ARRENDAMIENTO</v>
          </cell>
          <cell r="C151" t="str">
            <v>N</v>
          </cell>
        </row>
        <row r="152">
          <cell r="A152">
            <v>321000</v>
          </cell>
          <cell r="B152" t="str">
            <v>Arrendamiento de terrenos</v>
          </cell>
          <cell r="C152" t="str">
            <v>N</v>
          </cell>
        </row>
        <row r="153">
          <cell r="A153">
            <v>321001</v>
          </cell>
          <cell r="B153" t="str">
            <v>Arrendamiento de terrenos</v>
          </cell>
          <cell r="C153" t="str">
            <v>S</v>
          </cell>
        </row>
        <row r="154">
          <cell r="A154">
            <v>322000</v>
          </cell>
          <cell r="B154" t="str">
            <v>Arrendamiento de edificios</v>
          </cell>
          <cell r="C154" t="str">
            <v>N</v>
          </cell>
        </row>
        <row r="155">
          <cell r="A155">
            <v>322001</v>
          </cell>
          <cell r="B155" t="str">
            <v>Arrendamiento de edificios</v>
          </cell>
          <cell r="C155" t="str">
            <v>S</v>
          </cell>
        </row>
        <row r="156">
          <cell r="A156">
            <v>323000</v>
          </cell>
          <cell r="B156" t="str">
            <v>Arrendamiento de mobiliario y equipo de administración, educacional y recreativo</v>
          </cell>
          <cell r="C156" t="str">
            <v>N</v>
          </cell>
        </row>
        <row r="157">
          <cell r="A157">
            <v>323001</v>
          </cell>
          <cell r="B157" t="str">
            <v>Arrendamiento de maquinaria y equipo</v>
          </cell>
          <cell r="C157" t="str">
            <v>S</v>
          </cell>
        </row>
        <row r="158">
          <cell r="A158">
            <v>323002</v>
          </cell>
          <cell r="B158" t="str">
            <v>Arrendamiento de maquinaria y equipo de Administración</v>
          </cell>
          <cell r="C158" t="str">
            <v>S</v>
          </cell>
        </row>
        <row r="159">
          <cell r="A159">
            <v>323003</v>
          </cell>
          <cell r="B159" t="str">
            <v>Arrendamiento de Equipo Educacional y Recreativo</v>
          </cell>
          <cell r="C159" t="str">
            <v>S</v>
          </cell>
        </row>
        <row r="160">
          <cell r="A160">
            <v>323004</v>
          </cell>
          <cell r="B160" t="str">
            <v>Arrendamiento de Mobiliario y Equipo</v>
          </cell>
          <cell r="C160" t="str">
            <v>S</v>
          </cell>
        </row>
        <row r="161">
          <cell r="A161">
            <v>324000</v>
          </cell>
          <cell r="B161" t="str">
            <v>Arrendamiento de equipo e instrumental médico y de laboratorio</v>
          </cell>
          <cell r="C161" t="str">
            <v>N</v>
          </cell>
        </row>
        <row r="162">
          <cell r="A162">
            <v>324001</v>
          </cell>
          <cell r="B162" t="str">
            <v>Arrendamiento de equipo e instrumental médico y de laboratorio</v>
          </cell>
          <cell r="C162" t="str">
            <v>S</v>
          </cell>
        </row>
        <row r="163">
          <cell r="A163">
            <v>325000</v>
          </cell>
          <cell r="B163" t="str">
            <v>Arrendamiento de equipo de transporte</v>
          </cell>
          <cell r="C163" t="str">
            <v>N</v>
          </cell>
        </row>
        <row r="164">
          <cell r="A164">
            <v>325001</v>
          </cell>
          <cell r="B164" t="str">
            <v>Arrendamiento de equipo de transporte</v>
          </cell>
          <cell r="C164" t="str">
            <v>S</v>
          </cell>
        </row>
        <row r="165">
          <cell r="A165">
            <v>326000</v>
          </cell>
          <cell r="B165" t="str">
            <v>Arrendamiento de maquinaria, otros equipos y herramientas</v>
          </cell>
          <cell r="C165" t="str">
            <v>N</v>
          </cell>
        </row>
        <row r="166">
          <cell r="A166">
            <v>326001</v>
          </cell>
          <cell r="B166" t="str">
            <v>Arrendamiento de maquinaria, otros equipos y herramientas</v>
          </cell>
          <cell r="C166" t="str">
            <v>S</v>
          </cell>
        </row>
        <row r="167">
          <cell r="A167">
            <v>327000</v>
          </cell>
          <cell r="B167" t="str">
            <v>Arrendamiento de activos intangibles</v>
          </cell>
          <cell r="C167" t="str">
            <v>N</v>
          </cell>
        </row>
        <row r="168">
          <cell r="A168">
            <v>327001</v>
          </cell>
          <cell r="B168" t="str">
            <v>Arrendamiento de activos intangibles</v>
          </cell>
          <cell r="C168" t="str">
            <v>S</v>
          </cell>
        </row>
        <row r="169">
          <cell r="A169">
            <v>328000</v>
          </cell>
          <cell r="B169" t="str">
            <v>Arrendamiento financiero</v>
          </cell>
          <cell r="C169" t="str">
            <v>N</v>
          </cell>
        </row>
        <row r="170">
          <cell r="A170">
            <v>328001</v>
          </cell>
          <cell r="B170" t="str">
            <v>Arrendamiento financiero</v>
          </cell>
          <cell r="C170" t="str">
            <v>S</v>
          </cell>
        </row>
        <row r="171">
          <cell r="A171">
            <v>328002</v>
          </cell>
          <cell r="B171" t="str">
            <v>Programa Estatal de Arrendamiento Vehicular</v>
          </cell>
          <cell r="C171" t="str">
            <v>S</v>
          </cell>
        </row>
        <row r="172">
          <cell r="A172">
            <v>329000</v>
          </cell>
          <cell r="B172" t="str">
            <v>Otros arrendamientos</v>
          </cell>
          <cell r="C172" t="str">
            <v>N</v>
          </cell>
        </row>
        <row r="173">
          <cell r="A173">
            <v>329001</v>
          </cell>
          <cell r="B173" t="str">
            <v>Arrendamientos especiales</v>
          </cell>
          <cell r="C173" t="str">
            <v>S</v>
          </cell>
        </row>
        <row r="174">
          <cell r="A174">
            <v>330000</v>
          </cell>
          <cell r="B174" t="str">
            <v>SERVICIOS PROFESIONALES, CIENTÍFICOS, TÉCNICOS Y OTROS SERVICIOS</v>
          </cell>
          <cell r="C174" t="str">
            <v>N</v>
          </cell>
        </row>
        <row r="175">
          <cell r="A175">
            <v>331000</v>
          </cell>
          <cell r="B175" t="str">
            <v>Servicios legales, de contabilidad, auditoría y relacionados</v>
          </cell>
          <cell r="C175" t="str">
            <v>N</v>
          </cell>
        </row>
        <row r="176">
          <cell r="A176">
            <v>331001</v>
          </cell>
          <cell r="B176" t="str">
            <v>Asesorías</v>
          </cell>
          <cell r="C176" t="str">
            <v>S</v>
          </cell>
        </row>
        <row r="177">
          <cell r="A177">
            <v>331002</v>
          </cell>
          <cell r="B177" t="str">
            <v>Servicios Notariales</v>
          </cell>
          <cell r="C177" t="str">
            <v>S</v>
          </cell>
        </row>
        <row r="178">
          <cell r="A178">
            <v>331003</v>
          </cell>
          <cell r="B178" t="str">
            <v>Consultoría y Gestión</v>
          </cell>
          <cell r="C178" t="str">
            <v>S</v>
          </cell>
        </row>
        <row r="179">
          <cell r="A179">
            <v>332000</v>
          </cell>
          <cell r="B179" t="str">
            <v>Servicios de diseño, arquitectura, ingeniería y actividades relacionadas</v>
          </cell>
          <cell r="C179" t="str">
            <v>N</v>
          </cell>
        </row>
        <row r="180">
          <cell r="A180">
            <v>332001</v>
          </cell>
          <cell r="B180" t="str">
            <v>Servicios de diseño, arquitectura, ingeniería y actividades relacionadas</v>
          </cell>
          <cell r="C180" t="str">
            <v>S</v>
          </cell>
        </row>
        <row r="181">
          <cell r="A181">
            <v>333000</v>
          </cell>
          <cell r="B181" t="str">
            <v>Servicios de consultoría administrativa, procesos, técnica y en tecnologías de la información</v>
          </cell>
          <cell r="C181" t="str">
            <v>N</v>
          </cell>
        </row>
        <row r="182">
          <cell r="A182">
            <v>333001</v>
          </cell>
          <cell r="B182" t="str">
            <v>Estudios e investigaciones</v>
          </cell>
          <cell r="C182" t="str">
            <v>S</v>
          </cell>
        </row>
        <row r="183">
          <cell r="A183">
            <v>333002</v>
          </cell>
          <cell r="B183" t="str">
            <v>Sistematización de la Armonización Contable y Presupuestal</v>
          </cell>
          <cell r="C183" t="str">
            <v>S</v>
          </cell>
        </row>
        <row r="184">
          <cell r="A184">
            <v>333003</v>
          </cell>
          <cell r="B184" t="str">
            <v>Servicios de consultoría administrativa, procesos, técnica y en tecnologías de la información</v>
          </cell>
          <cell r="C184" t="str">
            <v>S</v>
          </cell>
        </row>
        <row r="185">
          <cell r="A185">
            <v>334000</v>
          </cell>
          <cell r="B185" t="str">
            <v>Servicios de capacitación</v>
          </cell>
          <cell r="C185" t="str">
            <v>N</v>
          </cell>
        </row>
        <row r="186">
          <cell r="A186">
            <v>334001</v>
          </cell>
          <cell r="B186" t="str">
            <v>Cuotas e inscripciones</v>
          </cell>
          <cell r="C186" t="str">
            <v>S</v>
          </cell>
        </row>
        <row r="187">
          <cell r="A187">
            <v>334002</v>
          </cell>
          <cell r="B187" t="str">
            <v>Servicios de Capacitación</v>
          </cell>
          <cell r="C187" t="str">
            <v>S</v>
          </cell>
        </row>
        <row r="188">
          <cell r="A188">
            <v>335000</v>
          </cell>
          <cell r="B188" t="str">
            <v>Servicios de investigación científica y desarrollo</v>
          </cell>
          <cell r="C188" t="str">
            <v>N</v>
          </cell>
        </row>
        <row r="189">
          <cell r="A189">
            <v>335001</v>
          </cell>
          <cell r="B189" t="str">
            <v>Servicios de investigación científica y desarrollo</v>
          </cell>
          <cell r="C189" t="str">
            <v>S</v>
          </cell>
        </row>
        <row r="190">
          <cell r="A190">
            <v>336000</v>
          </cell>
          <cell r="B190" t="str">
            <v>Servicios de apoyo administrativo, traducción, fotocopiado e impresión</v>
          </cell>
          <cell r="C190" t="str">
            <v>N</v>
          </cell>
        </row>
        <row r="191">
          <cell r="A191">
            <v>336001</v>
          </cell>
          <cell r="B191" t="str">
            <v>Servicio de Fotocopiado, Enmicado y Encuadernación de Documentos.</v>
          </cell>
          <cell r="C191" t="str">
            <v>S</v>
          </cell>
        </row>
        <row r="192">
          <cell r="A192">
            <v>336002</v>
          </cell>
          <cell r="B192" t="str">
            <v>Servicio de Impresión y Elaboración de Material Informativo</v>
          </cell>
          <cell r="C192" t="str">
            <v>S</v>
          </cell>
        </row>
        <row r="193">
          <cell r="A193">
            <v>337000</v>
          </cell>
          <cell r="B193" t="str">
            <v>Servicios de protección y seguridad</v>
          </cell>
          <cell r="C193" t="str">
            <v>N</v>
          </cell>
        </row>
        <row r="194">
          <cell r="A194">
            <v>337001</v>
          </cell>
          <cell r="B194" t="str">
            <v>Dispositivo de seguridad pública</v>
          </cell>
          <cell r="C194" t="str">
            <v>S</v>
          </cell>
        </row>
        <row r="195">
          <cell r="A195">
            <v>338000</v>
          </cell>
          <cell r="B195" t="str">
            <v>Servicios de vigilancia</v>
          </cell>
          <cell r="C195" t="str">
            <v>N</v>
          </cell>
        </row>
        <row r="196">
          <cell r="A196">
            <v>338001</v>
          </cell>
          <cell r="B196" t="str">
            <v>Servicio de seguridad privada</v>
          </cell>
          <cell r="C196" t="str">
            <v>S</v>
          </cell>
        </row>
        <row r="197">
          <cell r="A197">
            <v>339000</v>
          </cell>
          <cell r="B197" t="str">
            <v>Servicios profesionales, científicos y técnicos integrales</v>
          </cell>
          <cell r="C197" t="str">
            <v>N</v>
          </cell>
        </row>
        <row r="198">
          <cell r="A198">
            <v>339001</v>
          </cell>
          <cell r="B198" t="str">
            <v>Servicios profesionales, científicos y técnicos integrales</v>
          </cell>
          <cell r="C198" t="str">
            <v>S</v>
          </cell>
        </row>
        <row r="199">
          <cell r="A199">
            <v>340000</v>
          </cell>
          <cell r="B199" t="str">
            <v>SERVICIOS FINANCIEROS, BANCARIOS Y COMERCIALES</v>
          </cell>
          <cell r="C199" t="str">
            <v>N</v>
          </cell>
        </row>
        <row r="200">
          <cell r="A200">
            <v>341000</v>
          </cell>
          <cell r="B200" t="str">
            <v>Servicios financieros y bancarios</v>
          </cell>
          <cell r="C200" t="str">
            <v>N</v>
          </cell>
        </row>
        <row r="201">
          <cell r="A201">
            <v>341001</v>
          </cell>
          <cell r="B201" t="str">
            <v>Comisiones, descuentos y otros servicios bancarios</v>
          </cell>
          <cell r="C201" t="str">
            <v>S</v>
          </cell>
        </row>
        <row r="202">
          <cell r="A202">
            <v>342000</v>
          </cell>
          <cell r="B202" t="str">
            <v>Servicios de cobranza, investigación crediticia y similar</v>
          </cell>
          <cell r="C202" t="str">
            <v>N</v>
          </cell>
        </row>
        <row r="203">
          <cell r="A203">
            <v>342001</v>
          </cell>
          <cell r="B203" t="str">
            <v>Servicios de cobranza, investigación crediticia y similar</v>
          </cell>
          <cell r="C203" t="str">
            <v>S</v>
          </cell>
        </row>
        <row r="204">
          <cell r="A204">
            <v>343000</v>
          </cell>
          <cell r="B204" t="str">
            <v>Servicios de recaudación, traslado y custodia de valores</v>
          </cell>
          <cell r="C204" t="str">
            <v>N</v>
          </cell>
        </row>
        <row r="205">
          <cell r="A205">
            <v>343001</v>
          </cell>
          <cell r="B205" t="str">
            <v>Servicios de recaudación, traslado y custodia de valores</v>
          </cell>
          <cell r="C205" t="str">
            <v>S</v>
          </cell>
        </row>
        <row r="206">
          <cell r="A206">
            <v>344000</v>
          </cell>
          <cell r="B206" t="str">
            <v>Seguros de responsabilidad patrimonial y fianzas</v>
          </cell>
          <cell r="C206" t="str">
            <v>N</v>
          </cell>
        </row>
        <row r="207">
          <cell r="A207">
            <v>344001</v>
          </cell>
          <cell r="B207" t="str">
            <v>Seguros de responsabilidad patrimonial y fianzas</v>
          </cell>
          <cell r="C207" t="str">
            <v>S</v>
          </cell>
        </row>
        <row r="208">
          <cell r="A208">
            <v>345000</v>
          </cell>
          <cell r="B208" t="str">
            <v>Seguro de bienes patrimoniales</v>
          </cell>
          <cell r="C208" t="str">
            <v>N</v>
          </cell>
        </row>
        <row r="209">
          <cell r="A209">
            <v>345001</v>
          </cell>
          <cell r="B209" t="str">
            <v>Seguros</v>
          </cell>
          <cell r="C209" t="str">
            <v>S</v>
          </cell>
        </row>
        <row r="210">
          <cell r="A210">
            <v>346000</v>
          </cell>
          <cell r="B210" t="str">
            <v>Almacenaje, envase y embalaje</v>
          </cell>
          <cell r="C210" t="str">
            <v>N</v>
          </cell>
        </row>
        <row r="211">
          <cell r="A211">
            <v>346001</v>
          </cell>
          <cell r="B211" t="str">
            <v>Almacenaje, envase y embalaje</v>
          </cell>
          <cell r="C211" t="str">
            <v>S</v>
          </cell>
        </row>
        <row r="212">
          <cell r="A212">
            <v>347000</v>
          </cell>
          <cell r="B212" t="str">
            <v>Fletes y maniobras</v>
          </cell>
          <cell r="C212" t="str">
            <v>N</v>
          </cell>
        </row>
        <row r="213">
          <cell r="A213">
            <v>347001</v>
          </cell>
          <cell r="B213" t="str">
            <v>Fletes, maniobras y almacenaje</v>
          </cell>
          <cell r="C213" t="str">
            <v>S</v>
          </cell>
        </row>
        <row r="214">
          <cell r="A214">
            <v>348000</v>
          </cell>
          <cell r="B214" t="str">
            <v>Comisiones por ventas</v>
          </cell>
          <cell r="C214" t="str">
            <v>N</v>
          </cell>
        </row>
        <row r="215">
          <cell r="A215">
            <v>348001</v>
          </cell>
          <cell r="B215" t="str">
            <v>Comisiones por ventas</v>
          </cell>
          <cell r="C215" t="str">
            <v>S</v>
          </cell>
        </row>
        <row r="216">
          <cell r="A216">
            <v>349000</v>
          </cell>
          <cell r="B216" t="str">
            <v>Servicios financieros, bancarios y comerciales integrales</v>
          </cell>
          <cell r="C216" t="str">
            <v>N</v>
          </cell>
        </row>
        <row r="217">
          <cell r="A217">
            <v>349001</v>
          </cell>
          <cell r="B217" t="str">
            <v>Servicios financieros, bancarios y comerciales integrales</v>
          </cell>
          <cell r="C217" t="str">
            <v>S</v>
          </cell>
        </row>
        <row r="218">
          <cell r="A218">
            <v>350000</v>
          </cell>
          <cell r="B218" t="str">
            <v>SERVICIOS DE INSTALACIÓN, REPARACIÓN, MANTENIMIENTO Y CONSERVACIÓN</v>
          </cell>
          <cell r="C218" t="str">
            <v>N</v>
          </cell>
        </row>
        <row r="219">
          <cell r="A219">
            <v>351000</v>
          </cell>
          <cell r="B219" t="str">
            <v>Conservación y mantenimiento menor de inmuebles</v>
          </cell>
          <cell r="C219" t="str">
            <v>N</v>
          </cell>
        </row>
        <row r="220">
          <cell r="A220">
            <v>351001</v>
          </cell>
          <cell r="B220" t="str">
            <v>Mantenimiento de inmuebles</v>
          </cell>
          <cell r="C220" t="str">
            <v>S</v>
          </cell>
        </row>
        <row r="221">
          <cell r="A221">
            <v>351002</v>
          </cell>
          <cell r="B221" t="str">
            <v>Fumigación de Inmuebles</v>
          </cell>
          <cell r="C221" t="str">
            <v>S</v>
          </cell>
        </row>
        <row r="222">
          <cell r="A222">
            <v>351003</v>
          </cell>
          <cell r="B222" t="str">
            <v>Mantto. y Conserv. de Inmuebles Sub Proc. Zona Norte</v>
          </cell>
          <cell r="C222" t="str">
            <v>S</v>
          </cell>
        </row>
        <row r="223">
          <cell r="A223">
            <v>352000</v>
          </cell>
          <cell r="B223" t="str">
            <v>Instalación, reparación y mantenimiento de mobiliario y equipo de administración, educacional y recreativo</v>
          </cell>
          <cell r="C223" t="str">
            <v>N</v>
          </cell>
        </row>
        <row r="224">
          <cell r="A224">
            <v>352001</v>
          </cell>
          <cell r="B224" t="str">
            <v>Mantenimiento de mobiliario y equipo</v>
          </cell>
          <cell r="C224" t="str">
            <v>S</v>
          </cell>
        </row>
        <row r="225">
          <cell r="A225">
            <v>352002</v>
          </cell>
          <cell r="B225" t="str">
            <v>Gastos de instalación</v>
          </cell>
          <cell r="C225" t="str">
            <v>S</v>
          </cell>
        </row>
        <row r="226">
          <cell r="A226">
            <v>352003</v>
          </cell>
          <cell r="B226" t="str">
            <v>Mantto. y Conservación Archivo General de Notarias del Gob. del Edo.</v>
          </cell>
          <cell r="C226" t="str">
            <v>S</v>
          </cell>
        </row>
        <row r="227">
          <cell r="A227">
            <v>353000</v>
          </cell>
          <cell r="B227" t="str">
            <v>Instalación, reparación y mantenimiento de equipo de cómputo y tecnología de la información</v>
          </cell>
          <cell r="C227" t="str">
            <v>N</v>
          </cell>
        </row>
        <row r="228">
          <cell r="A228">
            <v>353001</v>
          </cell>
          <cell r="B228" t="str">
            <v>Instalación, reparación y mantenimiento de equipo de cómputo y tecnología  de la información</v>
          </cell>
          <cell r="C228" t="str">
            <v>S</v>
          </cell>
        </row>
        <row r="229">
          <cell r="A229">
            <v>354000</v>
          </cell>
          <cell r="B229" t="str">
            <v>Instalación, reparación y mantenimiento de equipo e instrumental médico y de laboratorio</v>
          </cell>
          <cell r="C229" t="str">
            <v>N</v>
          </cell>
        </row>
        <row r="230">
          <cell r="A230">
            <v>354001</v>
          </cell>
          <cell r="B230" t="str">
            <v>Instalación, reparación y mantenimiento de equipo e instrumental médico y de laboratorio</v>
          </cell>
          <cell r="C230" t="str">
            <v>S</v>
          </cell>
        </row>
        <row r="231">
          <cell r="A231">
            <v>355000</v>
          </cell>
          <cell r="B231" t="str">
            <v>Reparación y mantenimiento de equipo de transporte</v>
          </cell>
          <cell r="C231" t="str">
            <v>N</v>
          </cell>
        </row>
        <row r="232">
          <cell r="A232">
            <v>355001</v>
          </cell>
          <cell r="B232" t="str">
            <v>Mantto. y conservación de vehículos terrestres, aéreos, marítimos, lacustres y fluviales</v>
          </cell>
          <cell r="C232" t="str">
            <v>S</v>
          </cell>
        </row>
        <row r="233">
          <cell r="A233">
            <v>356000</v>
          </cell>
          <cell r="B233" t="str">
            <v>Reparación y mantenimiento de equipo de defensa y seguridad</v>
          </cell>
          <cell r="C233" t="str">
            <v>N</v>
          </cell>
        </row>
        <row r="234">
          <cell r="A234">
            <v>356001</v>
          </cell>
          <cell r="B234" t="str">
            <v>Reparación y mantenimiento de equipo de defensa y seguridad</v>
          </cell>
          <cell r="C234" t="str">
            <v>S</v>
          </cell>
        </row>
        <row r="235">
          <cell r="A235">
            <v>357000</v>
          </cell>
          <cell r="B235" t="str">
            <v>Instalación, reparación y mantenimiento de maquinaria, otros equipos y herramienta</v>
          </cell>
          <cell r="C235" t="str">
            <v>N</v>
          </cell>
        </row>
        <row r="236">
          <cell r="A236">
            <v>357001</v>
          </cell>
          <cell r="B236" t="str">
            <v>Instalación, reparación y mantenimiento de Equipo de Telecomunicaciones</v>
          </cell>
          <cell r="C236" t="str">
            <v>S</v>
          </cell>
        </row>
        <row r="237">
          <cell r="A237">
            <v>357002</v>
          </cell>
          <cell r="B237" t="str">
            <v>Instalación, reparación y mantenimiento de maquinaria, otros equipos y herramienta</v>
          </cell>
          <cell r="C237" t="str">
            <v>S</v>
          </cell>
        </row>
        <row r="238">
          <cell r="A238">
            <v>358000</v>
          </cell>
          <cell r="B238" t="str">
            <v>Servicios de limpieza y manejo de desechos</v>
          </cell>
          <cell r="C238" t="str">
            <v>N</v>
          </cell>
        </row>
        <row r="239">
          <cell r="A239">
            <v>358001</v>
          </cell>
          <cell r="B239" t="str">
            <v>Servicios de higiene y limpieza</v>
          </cell>
          <cell r="C239" t="str">
            <v>S</v>
          </cell>
        </row>
        <row r="240">
          <cell r="A240">
            <v>358002</v>
          </cell>
          <cell r="B240" t="str">
            <v>Servicios de Limpieza y Lavado de Vehículos</v>
          </cell>
          <cell r="C240" t="str">
            <v>S</v>
          </cell>
        </row>
        <row r="241">
          <cell r="A241">
            <v>358003</v>
          </cell>
          <cell r="B241" t="str">
            <v>Servicios de Lavandería</v>
          </cell>
          <cell r="C241" t="str">
            <v>S</v>
          </cell>
        </row>
        <row r="242">
          <cell r="A242">
            <v>359000</v>
          </cell>
          <cell r="B242" t="str">
            <v>Servicios de jardinería y fumigación</v>
          </cell>
          <cell r="C242" t="str">
            <v>N</v>
          </cell>
        </row>
        <row r="243">
          <cell r="A243">
            <v>359001</v>
          </cell>
          <cell r="B243" t="str">
            <v>Árboles, plantas, semillas y abonos</v>
          </cell>
          <cell r="C243" t="str">
            <v>S</v>
          </cell>
        </row>
        <row r="244">
          <cell r="A244">
            <v>359002</v>
          </cell>
          <cell r="B244" t="str">
            <v>Fumigación de áreas verdes</v>
          </cell>
          <cell r="C244" t="str">
            <v>S</v>
          </cell>
        </row>
        <row r="245">
          <cell r="A245">
            <v>360000</v>
          </cell>
          <cell r="B245" t="str">
            <v>SERVICIOS DE COMUNICACIÓN SOCIAL Y PUBLICIDAD</v>
          </cell>
          <cell r="C245" t="str">
            <v>N</v>
          </cell>
        </row>
        <row r="246">
          <cell r="A246">
            <v>361000</v>
          </cell>
          <cell r="B246" t="str">
            <v>Difusión por radio, televisión y otros medios de mensajes sobre programas y actividades gubernamentales</v>
          </cell>
          <cell r="C246" t="str">
            <v>N</v>
          </cell>
        </row>
        <row r="247">
          <cell r="A247">
            <v>361001</v>
          </cell>
          <cell r="B247" t="str">
            <v>Gastos de difusión</v>
          </cell>
          <cell r="C247" t="str">
            <v>S</v>
          </cell>
        </row>
        <row r="248">
          <cell r="A248">
            <v>361002</v>
          </cell>
          <cell r="B248" t="str">
            <v>Impresiones y publicaciones oficiales</v>
          </cell>
          <cell r="C248" t="str">
            <v>S</v>
          </cell>
        </row>
        <row r="249">
          <cell r="A249">
            <v>361003</v>
          </cell>
          <cell r="B249" t="str">
            <v>Rotulaciones oficiales</v>
          </cell>
          <cell r="C249" t="str">
            <v>S</v>
          </cell>
        </row>
        <row r="250">
          <cell r="A250">
            <v>361004</v>
          </cell>
          <cell r="B250" t="str">
            <v>Publicación de convocatorias</v>
          </cell>
          <cell r="C250" t="str">
            <v>S</v>
          </cell>
        </row>
        <row r="251">
          <cell r="A251">
            <v>362000</v>
          </cell>
          <cell r="B251" t="str">
            <v>Difusión por radio, televisión y otros medios de mensajes comerciales para promover la venta de bienes o servicios</v>
          </cell>
          <cell r="C251" t="str">
            <v>N</v>
          </cell>
        </row>
        <row r="252">
          <cell r="A252">
            <v>362001</v>
          </cell>
          <cell r="B252" t="str">
            <v>Difusión por radio, televisión y otros medios de mensajes comerciales para promover la venta de bienes o servicios</v>
          </cell>
          <cell r="C252" t="str">
            <v>S</v>
          </cell>
        </row>
        <row r="253">
          <cell r="A253">
            <v>362002</v>
          </cell>
          <cell r="B253" t="str">
            <v>Difusión por radio, televisión y otros medios de mensajes comerciales para promover la venta de bienes o servicios, fuera del país</v>
          </cell>
          <cell r="C253" t="str">
            <v>S</v>
          </cell>
        </row>
        <row r="254">
          <cell r="A254">
            <v>363000</v>
          </cell>
          <cell r="B254" t="str">
            <v>Servicios de creatividad, preproducción y producción de publicidad, excepto Internet</v>
          </cell>
          <cell r="C254" t="str">
            <v>N</v>
          </cell>
        </row>
        <row r="255">
          <cell r="A255">
            <v>363001</v>
          </cell>
          <cell r="B255" t="str">
            <v>Servicios de Producción y Diseño Publicitario</v>
          </cell>
          <cell r="C255" t="str">
            <v>S</v>
          </cell>
        </row>
        <row r="256">
          <cell r="A256">
            <v>364000</v>
          </cell>
          <cell r="B256" t="str">
            <v>Servicios de revelado de fotografías</v>
          </cell>
          <cell r="C256" t="str">
            <v>N</v>
          </cell>
        </row>
        <row r="257">
          <cell r="A257">
            <v>364001</v>
          </cell>
          <cell r="B257" t="str">
            <v>Revelado de Fotografías</v>
          </cell>
          <cell r="C257" t="str">
            <v>S</v>
          </cell>
        </row>
        <row r="258">
          <cell r="A258">
            <v>365000</v>
          </cell>
          <cell r="B258" t="str">
            <v>Servicios de la industria fílmica, del sonido y del video</v>
          </cell>
          <cell r="C258" t="str">
            <v>N</v>
          </cell>
        </row>
        <row r="259">
          <cell r="A259">
            <v>365001</v>
          </cell>
          <cell r="B259" t="str">
            <v>Servicios de la industria fílmica, del sonido y del video</v>
          </cell>
          <cell r="C259" t="str">
            <v>S</v>
          </cell>
        </row>
        <row r="260">
          <cell r="A260">
            <v>366000</v>
          </cell>
          <cell r="B260" t="str">
            <v>Servicio de creación y difusión de contenido exclusivamente a través de Internet</v>
          </cell>
          <cell r="C260" t="str">
            <v>N</v>
          </cell>
        </row>
        <row r="261">
          <cell r="A261">
            <v>366001</v>
          </cell>
          <cell r="B261" t="str">
            <v>Gastos de difusión a través de internet</v>
          </cell>
          <cell r="C261" t="str">
            <v>S</v>
          </cell>
        </row>
        <row r="262">
          <cell r="A262">
            <v>369000</v>
          </cell>
          <cell r="B262" t="str">
            <v>Otros servicios de información</v>
          </cell>
          <cell r="C262" t="str">
            <v>N</v>
          </cell>
        </row>
        <row r="263">
          <cell r="A263">
            <v>369001</v>
          </cell>
          <cell r="B263" t="str">
            <v>Monitoreo de Información y Encuestas</v>
          </cell>
          <cell r="C263" t="str">
            <v>S</v>
          </cell>
        </row>
        <row r="264">
          <cell r="A264">
            <v>370000</v>
          </cell>
          <cell r="B264" t="str">
            <v>SERVICIOS DE TRASLADO Y VIÁTICOS</v>
          </cell>
          <cell r="C264" t="str">
            <v>N</v>
          </cell>
        </row>
        <row r="265">
          <cell r="A265">
            <v>371000</v>
          </cell>
          <cell r="B265" t="str">
            <v>Pasajes aéreos</v>
          </cell>
          <cell r="C265" t="str">
            <v>N</v>
          </cell>
        </row>
        <row r="266">
          <cell r="A266">
            <v>371001</v>
          </cell>
          <cell r="B266" t="str">
            <v>Pasajes aéreos</v>
          </cell>
          <cell r="C266" t="str">
            <v>S</v>
          </cell>
        </row>
        <row r="267">
          <cell r="A267">
            <v>372000</v>
          </cell>
          <cell r="B267" t="str">
            <v>Pasajes terrestres</v>
          </cell>
          <cell r="C267" t="str">
            <v>N</v>
          </cell>
        </row>
        <row r="268">
          <cell r="A268">
            <v>372001</v>
          </cell>
          <cell r="B268" t="str">
            <v>Pasajes terrestres</v>
          </cell>
          <cell r="C268" t="str">
            <v>S</v>
          </cell>
        </row>
        <row r="269">
          <cell r="A269">
            <v>373000</v>
          </cell>
          <cell r="B269" t="str">
            <v>Pasajes marítimos, lacustres y fluviales</v>
          </cell>
          <cell r="C269" t="str">
            <v>N</v>
          </cell>
        </row>
        <row r="270">
          <cell r="A270">
            <v>373001</v>
          </cell>
          <cell r="B270" t="str">
            <v>Pasajes marítimos</v>
          </cell>
          <cell r="C270" t="str">
            <v>S</v>
          </cell>
        </row>
        <row r="271">
          <cell r="A271">
            <v>374000</v>
          </cell>
          <cell r="B271" t="str">
            <v>Autotransporte</v>
          </cell>
          <cell r="C271" t="str">
            <v>N</v>
          </cell>
        </row>
        <row r="272">
          <cell r="A272">
            <v>374001</v>
          </cell>
          <cell r="B272" t="str">
            <v>Autotransporte</v>
          </cell>
          <cell r="C272" t="str">
            <v>S</v>
          </cell>
        </row>
        <row r="273">
          <cell r="A273">
            <v>375000</v>
          </cell>
          <cell r="B273" t="str">
            <v>Viáticos en el país</v>
          </cell>
          <cell r="C273" t="str">
            <v>N</v>
          </cell>
        </row>
        <row r="274">
          <cell r="A274">
            <v>375001</v>
          </cell>
          <cell r="B274" t="str">
            <v>Viáticos</v>
          </cell>
          <cell r="C274" t="str">
            <v>S</v>
          </cell>
        </row>
        <row r="275">
          <cell r="A275">
            <v>376000</v>
          </cell>
          <cell r="B275" t="str">
            <v>Viáticos en el extranjero</v>
          </cell>
          <cell r="C275" t="str">
            <v>N</v>
          </cell>
        </row>
        <row r="276">
          <cell r="A276">
            <v>376001</v>
          </cell>
          <cell r="B276" t="str">
            <v>Viáticos en el extranjero</v>
          </cell>
          <cell r="C276" t="str">
            <v>S</v>
          </cell>
        </row>
        <row r="277">
          <cell r="A277">
            <v>377000</v>
          </cell>
          <cell r="B277" t="str">
            <v>Gastos de instalación y traslado de menaje</v>
          </cell>
          <cell r="C277" t="str">
            <v>N</v>
          </cell>
        </row>
        <row r="278">
          <cell r="A278">
            <v>377001</v>
          </cell>
          <cell r="B278" t="str">
            <v>Gastos de instalación y traslado de menaje</v>
          </cell>
          <cell r="C278" t="str">
            <v>S</v>
          </cell>
        </row>
        <row r="279">
          <cell r="A279">
            <v>378000</v>
          </cell>
          <cell r="B279" t="str">
            <v>Servicios integrales de traslado y viáticos</v>
          </cell>
          <cell r="C279" t="str">
            <v>N</v>
          </cell>
        </row>
        <row r="280">
          <cell r="A280">
            <v>378001</v>
          </cell>
          <cell r="B280" t="str">
            <v>Diligencias judiciales</v>
          </cell>
          <cell r="C280" t="str">
            <v>S</v>
          </cell>
        </row>
        <row r="281">
          <cell r="A281">
            <v>379000</v>
          </cell>
          <cell r="B281" t="str">
            <v>Otros servicios de traslado y hospedaje</v>
          </cell>
          <cell r="C281" t="str">
            <v>N</v>
          </cell>
        </row>
        <row r="282">
          <cell r="A282">
            <v>379001</v>
          </cell>
          <cell r="B282" t="str">
            <v>Traslado de vehículos</v>
          </cell>
          <cell r="C282" t="str">
            <v>S</v>
          </cell>
        </row>
        <row r="283">
          <cell r="A283">
            <v>379002</v>
          </cell>
          <cell r="B283" t="str">
            <v>Gastos de traslado de personas</v>
          </cell>
          <cell r="C283" t="str">
            <v>S</v>
          </cell>
        </row>
        <row r="284">
          <cell r="A284">
            <v>379003</v>
          </cell>
          <cell r="B284" t="str">
            <v>Hospedaje de personas</v>
          </cell>
          <cell r="C284" t="str">
            <v>S</v>
          </cell>
        </row>
        <row r="285">
          <cell r="A285">
            <v>380000</v>
          </cell>
          <cell r="B285" t="str">
            <v>SERVICIOS OFICIALES</v>
          </cell>
          <cell r="C285" t="str">
            <v>N</v>
          </cell>
        </row>
        <row r="286">
          <cell r="A286">
            <v>381000</v>
          </cell>
          <cell r="B286" t="str">
            <v>Gastos de ceremonial</v>
          </cell>
          <cell r="C286" t="str">
            <v>N</v>
          </cell>
        </row>
        <row r="287">
          <cell r="A287">
            <v>381001</v>
          </cell>
          <cell r="B287" t="str">
            <v>Atención a personalidades nacionales y extranjeras</v>
          </cell>
          <cell r="C287" t="str">
            <v>S</v>
          </cell>
        </row>
        <row r="288">
          <cell r="A288">
            <v>382000</v>
          </cell>
          <cell r="B288" t="str">
            <v>Gastos de orden social y cultural</v>
          </cell>
          <cell r="C288" t="str">
            <v>N</v>
          </cell>
        </row>
        <row r="289">
          <cell r="A289">
            <v>382001</v>
          </cell>
          <cell r="B289" t="str">
            <v>Espectáculos y actividades culturales</v>
          </cell>
          <cell r="C289" t="str">
            <v>S</v>
          </cell>
        </row>
        <row r="290">
          <cell r="A290">
            <v>382002</v>
          </cell>
          <cell r="B290" t="str">
            <v>Gastos de recepción, conmemorativos y de orden social</v>
          </cell>
          <cell r="C290" t="str">
            <v>S</v>
          </cell>
        </row>
        <row r="291">
          <cell r="A291">
            <v>382003</v>
          </cell>
          <cell r="B291" t="str">
            <v>Adaptaciones para eventos sociales y culturales</v>
          </cell>
          <cell r="C291" t="str">
            <v>S</v>
          </cell>
        </row>
        <row r="292">
          <cell r="A292">
            <v>382004</v>
          </cell>
          <cell r="B292" t="str">
            <v>Festividades y Eventos</v>
          </cell>
          <cell r="C292" t="str">
            <v>S</v>
          </cell>
        </row>
        <row r="293">
          <cell r="A293">
            <v>383000</v>
          </cell>
          <cell r="B293" t="str">
            <v>Congresos y convenciones</v>
          </cell>
          <cell r="C293" t="str">
            <v>N</v>
          </cell>
        </row>
        <row r="294">
          <cell r="A294">
            <v>383001</v>
          </cell>
          <cell r="B294" t="str">
            <v>Congresos y convenciones</v>
          </cell>
          <cell r="C294" t="str">
            <v>S</v>
          </cell>
        </row>
        <row r="295">
          <cell r="A295">
            <v>384000</v>
          </cell>
          <cell r="B295" t="str">
            <v>Exposiciones</v>
          </cell>
          <cell r="C295" t="str">
            <v>N</v>
          </cell>
        </row>
        <row r="296">
          <cell r="A296">
            <v>384001</v>
          </cell>
          <cell r="B296" t="str">
            <v>Exposiciones</v>
          </cell>
          <cell r="C296" t="str">
            <v>S</v>
          </cell>
        </row>
        <row r="297">
          <cell r="A297">
            <v>385000</v>
          </cell>
          <cell r="B297" t="str">
            <v>Gastos de representación</v>
          </cell>
          <cell r="C297" t="str">
            <v>N</v>
          </cell>
        </row>
        <row r="298">
          <cell r="A298">
            <v>385001</v>
          </cell>
          <cell r="B298" t="str">
            <v>Gastos de representación</v>
          </cell>
          <cell r="C298" t="str">
            <v>S</v>
          </cell>
        </row>
        <row r="299">
          <cell r="A299">
            <v>390000</v>
          </cell>
          <cell r="B299" t="str">
            <v>OTROS SERVICIOS GENERALES</v>
          </cell>
          <cell r="C299" t="str">
            <v>N</v>
          </cell>
        </row>
        <row r="300">
          <cell r="A300">
            <v>391000</v>
          </cell>
          <cell r="B300" t="str">
            <v>Servicios funerarios y de cementerios</v>
          </cell>
          <cell r="C300" t="str">
            <v>N</v>
          </cell>
        </row>
        <row r="301">
          <cell r="A301">
            <v>391001</v>
          </cell>
          <cell r="B301" t="str">
            <v>Servicios funerarios y de cementerios</v>
          </cell>
          <cell r="C301" t="str">
            <v>S</v>
          </cell>
        </row>
        <row r="302">
          <cell r="A302">
            <v>392000</v>
          </cell>
          <cell r="B302" t="str">
            <v>Impuestos y derechos</v>
          </cell>
          <cell r="C302" t="str">
            <v>N</v>
          </cell>
        </row>
        <row r="303">
          <cell r="A303">
            <v>392001</v>
          </cell>
          <cell r="B303" t="str">
            <v>Impuestos y derechos</v>
          </cell>
          <cell r="C303" t="str">
            <v>S</v>
          </cell>
        </row>
        <row r="304">
          <cell r="A304">
            <v>393000</v>
          </cell>
          <cell r="B304" t="str">
            <v>Impuestos y derechos de importación</v>
          </cell>
          <cell r="C304" t="str">
            <v>N</v>
          </cell>
        </row>
        <row r="305">
          <cell r="A305">
            <v>393001</v>
          </cell>
          <cell r="B305" t="str">
            <v>Impuestos y derechos de importación</v>
          </cell>
          <cell r="C305" t="str">
            <v>S</v>
          </cell>
        </row>
        <row r="306">
          <cell r="A306">
            <v>394000</v>
          </cell>
          <cell r="B306" t="str">
            <v>Sentencias y resoluciones judiciales</v>
          </cell>
          <cell r="C306" t="str">
            <v>N</v>
          </cell>
        </row>
        <row r="307">
          <cell r="A307">
            <v>394001</v>
          </cell>
          <cell r="B307" t="str">
            <v>Sentencias y resoluciones judiciales</v>
          </cell>
          <cell r="C307" t="str">
            <v>S</v>
          </cell>
        </row>
        <row r="308">
          <cell r="A308">
            <v>395000</v>
          </cell>
          <cell r="B308" t="str">
            <v>Penas, multas, accesorios y actualizaciones</v>
          </cell>
          <cell r="C308" t="str">
            <v>N</v>
          </cell>
        </row>
        <row r="309">
          <cell r="A309">
            <v>395001</v>
          </cell>
          <cell r="B309" t="str">
            <v>Penas, multas, accesorios y actualizaciones</v>
          </cell>
          <cell r="C309" t="str">
            <v>S</v>
          </cell>
        </row>
        <row r="310">
          <cell r="A310">
            <v>396000</v>
          </cell>
          <cell r="B310" t="str">
            <v>Otros gastos por responsabilidades</v>
          </cell>
          <cell r="C310" t="str">
            <v>N</v>
          </cell>
        </row>
        <row r="311">
          <cell r="A311">
            <v>396001</v>
          </cell>
          <cell r="B311" t="str">
            <v>Otros gastos por responsabilidades</v>
          </cell>
          <cell r="C311" t="str">
            <v>S</v>
          </cell>
        </row>
        <row r="312">
          <cell r="A312">
            <v>399000</v>
          </cell>
          <cell r="B312" t="str">
            <v>Otros servicios generales</v>
          </cell>
          <cell r="C312" t="str">
            <v>N</v>
          </cell>
        </row>
        <row r="313">
          <cell r="A313">
            <v>399001</v>
          </cell>
          <cell r="B313" t="str">
            <v>Gastos menores</v>
          </cell>
          <cell r="C313" t="str">
            <v>S</v>
          </cell>
        </row>
        <row r="314">
          <cell r="A314">
            <v>399002</v>
          </cell>
          <cell r="B314" t="str">
            <v>Retribuciones a reos</v>
          </cell>
          <cell r="C314" t="str">
            <v>S</v>
          </cell>
        </row>
        <row r="315">
          <cell r="A315">
            <v>399003</v>
          </cell>
          <cell r="B315" t="str">
            <v>Otros servicios de la administración pública</v>
          </cell>
          <cell r="C315" t="str">
            <v>S</v>
          </cell>
        </row>
        <row r="316">
          <cell r="A316">
            <v>399004</v>
          </cell>
          <cell r="B316" t="str">
            <v>Previsión Arrendamientos</v>
          </cell>
          <cell r="C316" t="str">
            <v>Prev</v>
          </cell>
        </row>
        <row r="317">
          <cell r="A317">
            <v>500000</v>
          </cell>
          <cell r="B317" t="str">
            <v>BIENES MUEBLES, INMUEBLES E INTANGIBLES</v>
          </cell>
          <cell r="C317" t="str">
            <v>N</v>
          </cell>
        </row>
        <row r="318">
          <cell r="A318">
            <v>510000</v>
          </cell>
          <cell r="B318" t="str">
            <v>MOBILIARIO Y EQUIPO DE ADMINISTRACIÓN</v>
          </cell>
          <cell r="C318" t="str">
            <v>N</v>
          </cell>
        </row>
        <row r="319">
          <cell r="A319">
            <v>511000</v>
          </cell>
          <cell r="B319" t="str">
            <v>Muebles de oficina y estantería</v>
          </cell>
          <cell r="C319" t="str">
            <v>N</v>
          </cell>
        </row>
        <row r="320">
          <cell r="A320">
            <v>511001</v>
          </cell>
          <cell r="B320" t="str">
            <v>Mobiliario</v>
          </cell>
          <cell r="C320" t="str">
            <v>S</v>
          </cell>
        </row>
        <row r="321">
          <cell r="A321">
            <v>512000</v>
          </cell>
          <cell r="B321" t="str">
            <v>Muebles, excepto de oficina y estantería</v>
          </cell>
          <cell r="C321" t="str">
            <v>N</v>
          </cell>
        </row>
        <row r="322">
          <cell r="A322">
            <v>512001</v>
          </cell>
          <cell r="B322" t="str">
            <v>Muebles, excepto de oficina y estantería</v>
          </cell>
          <cell r="C322" t="str">
            <v>S</v>
          </cell>
        </row>
        <row r="323">
          <cell r="A323">
            <v>513000</v>
          </cell>
          <cell r="B323" t="str">
            <v>Bienes artísticos, culturales y científicos</v>
          </cell>
          <cell r="C323" t="str">
            <v>N</v>
          </cell>
        </row>
        <row r="324">
          <cell r="A324">
            <v>513001</v>
          </cell>
          <cell r="B324" t="str">
            <v>Bienes artísticos y culturales</v>
          </cell>
          <cell r="C324" t="str">
            <v>S</v>
          </cell>
        </row>
        <row r="325">
          <cell r="A325">
            <v>514000</v>
          </cell>
          <cell r="B325" t="str">
            <v>Objetos de valor</v>
          </cell>
          <cell r="C325" t="str">
            <v>N</v>
          </cell>
        </row>
        <row r="326">
          <cell r="A326">
            <v>514001</v>
          </cell>
          <cell r="B326" t="str">
            <v>Objetos de valor</v>
          </cell>
          <cell r="C326" t="str">
            <v>S</v>
          </cell>
        </row>
        <row r="327">
          <cell r="A327">
            <v>515000</v>
          </cell>
          <cell r="B327" t="str">
            <v>Equipo de cómputo y de tecnologías de la información</v>
          </cell>
          <cell r="C327" t="str">
            <v>N</v>
          </cell>
        </row>
        <row r="328">
          <cell r="A328">
            <v>515001</v>
          </cell>
          <cell r="B328" t="str">
            <v>Equipo de administración</v>
          </cell>
          <cell r="C328" t="str">
            <v>S</v>
          </cell>
        </row>
        <row r="329">
          <cell r="A329">
            <v>515002</v>
          </cell>
          <cell r="B329" t="str">
            <v>Equipo de Cómputo y Aparatos de Uso Informático</v>
          </cell>
          <cell r="C329" t="str">
            <v>S</v>
          </cell>
        </row>
        <row r="330">
          <cell r="A330">
            <v>515003</v>
          </cell>
          <cell r="B330" t="str">
            <v>Sistemas de Rastreo Satelital (GPS)</v>
          </cell>
          <cell r="C330" t="str">
            <v>S</v>
          </cell>
        </row>
        <row r="331">
          <cell r="A331">
            <v>519000</v>
          </cell>
          <cell r="B331" t="str">
            <v>Otros mobiliarios y equipos de administración</v>
          </cell>
          <cell r="C331" t="str">
            <v>N</v>
          </cell>
        </row>
        <row r="332">
          <cell r="A332">
            <v>519001</v>
          </cell>
          <cell r="B332" t="str">
            <v>Cámaras y Circuitos Cerrados de Seguridad</v>
          </cell>
          <cell r="C332" t="str">
            <v>S</v>
          </cell>
        </row>
        <row r="333">
          <cell r="A333">
            <v>519002</v>
          </cell>
          <cell r="B333" t="str">
            <v>Equipos de Audio</v>
          </cell>
          <cell r="C333" t="str">
            <v>S</v>
          </cell>
        </row>
        <row r="334">
          <cell r="A334">
            <v>519003</v>
          </cell>
          <cell r="B334" t="str">
            <v>Otras Herramientas, Mobiliarios y Eq. De Administración</v>
          </cell>
          <cell r="C334" t="str">
            <v>S</v>
          </cell>
        </row>
        <row r="335">
          <cell r="A335">
            <v>519004</v>
          </cell>
          <cell r="B335" t="str">
            <v>Aulas Móviles de Vigilancia</v>
          </cell>
          <cell r="C335" t="str">
            <v>S</v>
          </cell>
        </row>
        <row r="336">
          <cell r="A336">
            <v>520000</v>
          </cell>
          <cell r="B336" t="str">
            <v>MOBILIARIO Y EQUIPO EDUCACIONAL Y RECREATIVO</v>
          </cell>
          <cell r="C336" t="str">
            <v>N</v>
          </cell>
        </row>
        <row r="337">
          <cell r="A337">
            <v>521000</v>
          </cell>
          <cell r="B337" t="str">
            <v>Equipos y aparatos audiovisuales</v>
          </cell>
          <cell r="C337" t="str">
            <v>N</v>
          </cell>
        </row>
        <row r="338">
          <cell r="A338">
            <v>521001</v>
          </cell>
          <cell r="B338" t="str">
            <v>Equipo educacional y recreativo</v>
          </cell>
          <cell r="C338" t="str">
            <v>S</v>
          </cell>
        </row>
        <row r="339">
          <cell r="A339">
            <v>522000</v>
          </cell>
          <cell r="B339" t="str">
            <v>Aparatos deportivos</v>
          </cell>
          <cell r="C339" t="str">
            <v>N</v>
          </cell>
        </row>
        <row r="340">
          <cell r="A340">
            <v>522001</v>
          </cell>
          <cell r="B340" t="str">
            <v>Aparatos deportivos</v>
          </cell>
          <cell r="C340" t="str">
            <v>S</v>
          </cell>
        </row>
        <row r="341">
          <cell r="A341">
            <v>523000</v>
          </cell>
          <cell r="B341" t="str">
            <v>Cámaras fotográficas y de video</v>
          </cell>
          <cell r="C341" t="str">
            <v>N</v>
          </cell>
        </row>
        <row r="342">
          <cell r="A342">
            <v>523001</v>
          </cell>
          <cell r="B342" t="str">
            <v>Cámaras Fotográficas</v>
          </cell>
          <cell r="C342" t="str">
            <v>S</v>
          </cell>
        </row>
        <row r="343">
          <cell r="A343">
            <v>523002</v>
          </cell>
          <cell r="B343" t="str">
            <v>Cámaras de Video</v>
          </cell>
          <cell r="C343" t="str">
            <v>S</v>
          </cell>
        </row>
        <row r="344">
          <cell r="A344">
            <v>529000</v>
          </cell>
          <cell r="B344" t="str">
            <v>Otro mobiliario y equipo educacional y recreativo</v>
          </cell>
          <cell r="C344" t="str">
            <v>N</v>
          </cell>
        </row>
        <row r="345">
          <cell r="A345">
            <v>529001</v>
          </cell>
          <cell r="B345" t="str">
            <v>Instrumentos Musicales</v>
          </cell>
          <cell r="C345" t="str">
            <v>S</v>
          </cell>
        </row>
        <row r="346">
          <cell r="A346">
            <v>529002</v>
          </cell>
          <cell r="B346" t="str">
            <v>Equipo Educacional</v>
          </cell>
          <cell r="C346" t="str">
            <v>S</v>
          </cell>
        </row>
        <row r="347">
          <cell r="A347">
            <v>530000</v>
          </cell>
          <cell r="B347" t="str">
            <v>EQUIPO E INSTRUMENTAL MÉDICO Y DE LABORATORIO</v>
          </cell>
          <cell r="C347" t="str">
            <v>N</v>
          </cell>
        </row>
        <row r="348">
          <cell r="A348">
            <v>531000</v>
          </cell>
          <cell r="B348" t="str">
            <v>Equipo médico y de laboratorio</v>
          </cell>
          <cell r="C348" t="str">
            <v>N</v>
          </cell>
        </row>
        <row r="349">
          <cell r="A349">
            <v>531001</v>
          </cell>
          <cell r="B349" t="str">
            <v>Equipo e instrumental medico</v>
          </cell>
          <cell r="C349" t="str">
            <v>S</v>
          </cell>
        </row>
        <row r="350">
          <cell r="A350">
            <v>532000</v>
          </cell>
          <cell r="B350" t="str">
            <v>Instrumental médico y de laboratorio</v>
          </cell>
          <cell r="C350" t="str">
            <v>N</v>
          </cell>
        </row>
        <row r="351">
          <cell r="A351">
            <v>532001</v>
          </cell>
          <cell r="B351" t="str">
            <v>Instrumental médico y de laboratorio</v>
          </cell>
          <cell r="C351" t="str">
            <v>S</v>
          </cell>
        </row>
        <row r="352">
          <cell r="A352">
            <v>540000</v>
          </cell>
          <cell r="B352" t="str">
            <v>VEHÍCULOS Y EQUIPO DE TRANSPORTE</v>
          </cell>
          <cell r="C352" t="str">
            <v>N</v>
          </cell>
        </row>
        <row r="353">
          <cell r="A353">
            <v>541000</v>
          </cell>
          <cell r="B353" t="str">
            <v>Automóviles y camiones</v>
          </cell>
          <cell r="C353" t="str">
            <v>N</v>
          </cell>
        </row>
        <row r="354">
          <cell r="A354">
            <v>541001</v>
          </cell>
          <cell r="B354" t="str">
            <v>Vehículos y equipo terrestre</v>
          </cell>
          <cell r="C354" t="str">
            <v>S</v>
          </cell>
        </row>
        <row r="355">
          <cell r="A355">
            <v>542000</v>
          </cell>
          <cell r="B355" t="str">
            <v>Carrocerías y remolques</v>
          </cell>
          <cell r="C355" t="str">
            <v>N</v>
          </cell>
        </row>
        <row r="356">
          <cell r="A356">
            <v>542001</v>
          </cell>
          <cell r="B356" t="str">
            <v>Carrocerías y remolques</v>
          </cell>
          <cell r="C356" t="str">
            <v>S</v>
          </cell>
        </row>
        <row r="357">
          <cell r="A357">
            <v>543000</v>
          </cell>
          <cell r="B357" t="str">
            <v>Equipo aeroespacial</v>
          </cell>
          <cell r="C357" t="str">
            <v>N</v>
          </cell>
        </row>
        <row r="358">
          <cell r="A358">
            <v>543001</v>
          </cell>
          <cell r="B358" t="str">
            <v>Vehículos y equipo de transporte aéreo</v>
          </cell>
          <cell r="C358" t="str">
            <v>S</v>
          </cell>
        </row>
        <row r="359">
          <cell r="A359">
            <v>544000</v>
          </cell>
          <cell r="B359" t="str">
            <v>Equipo ferroviario</v>
          </cell>
          <cell r="C359" t="str">
            <v>N</v>
          </cell>
        </row>
        <row r="360">
          <cell r="A360">
            <v>544001</v>
          </cell>
          <cell r="B360" t="str">
            <v>Equipo ferroviario</v>
          </cell>
          <cell r="C360" t="str">
            <v>S</v>
          </cell>
        </row>
        <row r="361">
          <cell r="A361">
            <v>545000</v>
          </cell>
          <cell r="B361" t="str">
            <v>Embarcaciones</v>
          </cell>
          <cell r="C361" t="str">
            <v>N</v>
          </cell>
        </row>
        <row r="362">
          <cell r="A362">
            <v>545001</v>
          </cell>
          <cell r="B362" t="str">
            <v>Vehículos y equipo marino</v>
          </cell>
          <cell r="C362" t="str">
            <v>S</v>
          </cell>
        </row>
        <row r="363">
          <cell r="A363">
            <v>549000</v>
          </cell>
          <cell r="B363" t="str">
            <v>Otros Equipos de Transporte</v>
          </cell>
          <cell r="C363" t="str">
            <v>N</v>
          </cell>
        </row>
        <row r="364">
          <cell r="A364">
            <v>549001</v>
          </cell>
          <cell r="B364" t="str">
            <v>Otros equipos de transporte</v>
          </cell>
          <cell r="C364" t="str">
            <v>S</v>
          </cell>
        </row>
        <row r="365">
          <cell r="A365">
            <v>550000</v>
          </cell>
          <cell r="B365" t="str">
            <v>EQUIPO DE DEFENSA Y SEGURIDAD</v>
          </cell>
          <cell r="C365" t="str">
            <v>N</v>
          </cell>
        </row>
        <row r="366">
          <cell r="A366">
            <v>551000</v>
          </cell>
          <cell r="B366" t="str">
            <v>Equipo de defensa y seguridad</v>
          </cell>
          <cell r="C366" t="str">
            <v>N</v>
          </cell>
        </row>
        <row r="367">
          <cell r="A367">
            <v>551001</v>
          </cell>
          <cell r="B367" t="str">
            <v>Equipo de defensa y seguridad pública</v>
          </cell>
          <cell r="C367" t="str">
            <v>S</v>
          </cell>
        </row>
        <row r="368">
          <cell r="A368">
            <v>560000</v>
          </cell>
          <cell r="B368" t="str">
            <v>MAQUINARIA, OTROS EQUIPOS Y HERRAMIENTAS</v>
          </cell>
          <cell r="C368" t="str">
            <v>N</v>
          </cell>
        </row>
        <row r="369">
          <cell r="A369">
            <v>561000</v>
          </cell>
          <cell r="B369" t="str">
            <v>Maquinaria y equipo agropecuario</v>
          </cell>
          <cell r="C369" t="str">
            <v>N</v>
          </cell>
        </row>
        <row r="370">
          <cell r="A370">
            <v>561001</v>
          </cell>
          <cell r="B370" t="str">
            <v>Maquinaria y equipo agropecuario, industrial y de construcción</v>
          </cell>
          <cell r="C370" t="str">
            <v>S</v>
          </cell>
        </row>
        <row r="371">
          <cell r="A371">
            <v>562000</v>
          </cell>
          <cell r="B371" t="str">
            <v>Maquinaria y equipo industrial</v>
          </cell>
          <cell r="C371" t="str">
            <v>N</v>
          </cell>
        </row>
        <row r="372">
          <cell r="A372">
            <v>562001</v>
          </cell>
          <cell r="B372" t="str">
            <v>Bombas Industriales</v>
          </cell>
          <cell r="C372" t="str">
            <v>S</v>
          </cell>
        </row>
        <row r="373">
          <cell r="A373">
            <v>563000</v>
          </cell>
          <cell r="B373" t="str">
            <v>Maquinaria y equipo de construcción</v>
          </cell>
          <cell r="C373" t="str">
            <v>N</v>
          </cell>
        </row>
        <row r="374">
          <cell r="A374">
            <v>563001</v>
          </cell>
          <cell r="B374" t="str">
            <v>Maquinaria y equipo de construcción</v>
          </cell>
          <cell r="C374" t="str">
            <v>S</v>
          </cell>
        </row>
        <row r="375">
          <cell r="A375">
            <v>564000</v>
          </cell>
          <cell r="B375" t="str">
            <v>Sistemas de aire acondicionado, calefacción y de refrigeración industrial y comercial</v>
          </cell>
          <cell r="C375" t="str">
            <v>N</v>
          </cell>
        </row>
        <row r="376">
          <cell r="A376">
            <v>564001</v>
          </cell>
          <cell r="B376" t="str">
            <v>Sistemas de aire acondicionado, calefacción y de refrigeración industrial y comercial</v>
          </cell>
          <cell r="C376" t="str">
            <v>S</v>
          </cell>
        </row>
        <row r="377">
          <cell r="A377">
            <v>565000</v>
          </cell>
          <cell r="B377" t="str">
            <v>Equipo de comunicación y telecomunicación</v>
          </cell>
          <cell r="C377" t="str">
            <v>N</v>
          </cell>
        </row>
        <row r="378">
          <cell r="A378">
            <v>565001</v>
          </cell>
          <cell r="B378" t="str">
            <v>Maq. y equipo de telecomunicaciones, eléctrica y electrónica</v>
          </cell>
          <cell r="C378" t="str">
            <v>S</v>
          </cell>
        </row>
        <row r="379">
          <cell r="A379">
            <v>566000</v>
          </cell>
          <cell r="B379" t="str">
            <v>Equipos de generación eléctrica, aparatos y accesorios eléctricos</v>
          </cell>
          <cell r="C379" t="str">
            <v>N</v>
          </cell>
        </row>
        <row r="380">
          <cell r="A380">
            <v>566001</v>
          </cell>
          <cell r="B380" t="str">
            <v>Equipos de generación eléctrica</v>
          </cell>
          <cell r="C380" t="str">
            <v>S</v>
          </cell>
        </row>
        <row r="381">
          <cell r="A381">
            <v>566002</v>
          </cell>
          <cell r="B381" t="str">
            <v>Aparatos y Accesorios eléctricos</v>
          </cell>
          <cell r="C381" t="str">
            <v>S</v>
          </cell>
        </row>
        <row r="382">
          <cell r="A382">
            <v>567000</v>
          </cell>
          <cell r="B382" t="str">
            <v>Herramientas y máquinas-herramienta</v>
          </cell>
          <cell r="C382" t="str">
            <v>N</v>
          </cell>
        </row>
        <row r="383">
          <cell r="A383">
            <v>567001</v>
          </cell>
          <cell r="B383" t="str">
            <v>Herramientas y refacciones mayores</v>
          </cell>
          <cell r="C383" t="str">
            <v>S</v>
          </cell>
        </row>
        <row r="384">
          <cell r="A384">
            <v>569000</v>
          </cell>
          <cell r="B384" t="str">
            <v>Otros equipos</v>
          </cell>
          <cell r="C384" t="str">
            <v>N</v>
          </cell>
        </row>
        <row r="385">
          <cell r="A385">
            <v>569001</v>
          </cell>
          <cell r="B385" t="str">
            <v>Maquinaria y equipo diverso</v>
          </cell>
          <cell r="C385" t="str">
            <v>S</v>
          </cell>
        </row>
        <row r="386">
          <cell r="A386">
            <v>570000</v>
          </cell>
          <cell r="B386" t="str">
            <v>ACTIVOS BIOLÓGICOS</v>
          </cell>
          <cell r="C386" t="str">
            <v>N</v>
          </cell>
        </row>
        <row r="387">
          <cell r="A387">
            <v>571000</v>
          </cell>
          <cell r="B387" t="str">
            <v>Bovinos</v>
          </cell>
          <cell r="C387" t="str">
            <v>N</v>
          </cell>
        </row>
        <row r="388">
          <cell r="A388">
            <v>571001</v>
          </cell>
          <cell r="B388" t="str">
            <v>Bovinos</v>
          </cell>
          <cell r="C388" t="str">
            <v>S</v>
          </cell>
        </row>
        <row r="389">
          <cell r="A389">
            <v>572000</v>
          </cell>
          <cell r="B389" t="str">
            <v>Porcinos</v>
          </cell>
          <cell r="C389" t="str">
            <v>N</v>
          </cell>
        </row>
        <row r="390">
          <cell r="A390">
            <v>572001</v>
          </cell>
          <cell r="B390" t="str">
            <v>Porcinos</v>
          </cell>
          <cell r="C390" t="str">
            <v>S</v>
          </cell>
        </row>
        <row r="391">
          <cell r="A391">
            <v>573000</v>
          </cell>
          <cell r="B391" t="str">
            <v>Aves</v>
          </cell>
          <cell r="C391" t="str">
            <v>N</v>
          </cell>
        </row>
        <row r="392">
          <cell r="A392">
            <v>573001</v>
          </cell>
          <cell r="B392" t="str">
            <v>Aves</v>
          </cell>
          <cell r="C392" t="str">
            <v>S</v>
          </cell>
        </row>
        <row r="393">
          <cell r="A393">
            <v>574000</v>
          </cell>
          <cell r="B393" t="str">
            <v>Ovinos y caprinos</v>
          </cell>
          <cell r="C393" t="str">
            <v>N</v>
          </cell>
        </row>
        <row r="394">
          <cell r="A394">
            <v>574001</v>
          </cell>
          <cell r="B394" t="str">
            <v>Ovinos y caprinos</v>
          </cell>
          <cell r="C394" t="str">
            <v>S</v>
          </cell>
        </row>
        <row r="395">
          <cell r="A395">
            <v>575000</v>
          </cell>
          <cell r="B395" t="str">
            <v>Peces y acuicultura</v>
          </cell>
          <cell r="C395" t="str">
            <v>N</v>
          </cell>
        </row>
        <row r="396">
          <cell r="A396">
            <v>575001</v>
          </cell>
          <cell r="B396" t="str">
            <v>Peces y acuicultura</v>
          </cell>
          <cell r="C396" t="str">
            <v>S</v>
          </cell>
        </row>
        <row r="397">
          <cell r="A397">
            <v>576000</v>
          </cell>
          <cell r="B397" t="str">
            <v>Equinos</v>
          </cell>
          <cell r="C397" t="str">
            <v>N</v>
          </cell>
        </row>
        <row r="398">
          <cell r="A398">
            <v>576001</v>
          </cell>
          <cell r="B398" t="str">
            <v>Equinos</v>
          </cell>
          <cell r="C398" t="str">
            <v>S</v>
          </cell>
        </row>
        <row r="399">
          <cell r="A399">
            <v>577000</v>
          </cell>
          <cell r="B399" t="str">
            <v>Especies menores y de zoológico</v>
          </cell>
          <cell r="C399" t="str">
            <v>N</v>
          </cell>
        </row>
        <row r="400">
          <cell r="A400">
            <v>577001</v>
          </cell>
          <cell r="B400" t="str">
            <v>Especies menores y de zoológico</v>
          </cell>
          <cell r="C400" t="str">
            <v>S</v>
          </cell>
        </row>
        <row r="401">
          <cell r="A401">
            <v>578000</v>
          </cell>
          <cell r="B401" t="str">
            <v>Árboles y plantas</v>
          </cell>
          <cell r="C401" t="str">
            <v>N</v>
          </cell>
        </row>
        <row r="402">
          <cell r="A402">
            <v>578001</v>
          </cell>
          <cell r="B402" t="str">
            <v>Árboles y plantas</v>
          </cell>
          <cell r="C402" t="str">
            <v>S</v>
          </cell>
        </row>
        <row r="403">
          <cell r="A403">
            <v>579000</v>
          </cell>
          <cell r="B403" t="str">
            <v>Otros activos biológicos</v>
          </cell>
          <cell r="C403" t="str">
            <v>N</v>
          </cell>
        </row>
        <row r="404">
          <cell r="A404">
            <v>579001</v>
          </cell>
          <cell r="B404" t="str">
            <v>Otros activos biológicos</v>
          </cell>
          <cell r="C404" t="str">
            <v>S</v>
          </cell>
        </row>
        <row r="405">
          <cell r="A405">
            <v>580000</v>
          </cell>
          <cell r="B405" t="str">
            <v>BIENES INMUEBLES</v>
          </cell>
          <cell r="C405" t="str">
            <v>N</v>
          </cell>
        </row>
        <row r="406">
          <cell r="A406">
            <v>581000</v>
          </cell>
          <cell r="B406" t="str">
            <v>Terrenos</v>
          </cell>
          <cell r="C406" t="str">
            <v>N</v>
          </cell>
        </row>
        <row r="407">
          <cell r="A407">
            <v>581001</v>
          </cell>
          <cell r="B407" t="str">
            <v>Terrenos</v>
          </cell>
          <cell r="C407" t="str">
            <v>S</v>
          </cell>
        </row>
        <row r="408">
          <cell r="A408">
            <v>582000</v>
          </cell>
          <cell r="B408" t="str">
            <v>Viviendas</v>
          </cell>
          <cell r="C408" t="str">
            <v>N</v>
          </cell>
        </row>
        <row r="409">
          <cell r="A409">
            <v>582001</v>
          </cell>
          <cell r="B409" t="str">
            <v>Viviendas</v>
          </cell>
          <cell r="C409" t="str">
            <v>S</v>
          </cell>
        </row>
        <row r="410">
          <cell r="A410">
            <v>583000</v>
          </cell>
          <cell r="B410" t="str">
            <v>Edificios no residenciales</v>
          </cell>
          <cell r="C410" t="str">
            <v>N</v>
          </cell>
        </row>
        <row r="411">
          <cell r="A411">
            <v>583001</v>
          </cell>
          <cell r="B411" t="str">
            <v>Edificios y locales</v>
          </cell>
          <cell r="C411" t="str">
            <v>S</v>
          </cell>
        </row>
        <row r="412">
          <cell r="A412">
            <v>589000</v>
          </cell>
          <cell r="B412" t="str">
            <v>Otros bienes inmuebles</v>
          </cell>
          <cell r="C412" t="str">
            <v>N</v>
          </cell>
        </row>
        <row r="413">
          <cell r="A413">
            <v>589001</v>
          </cell>
          <cell r="B413" t="str">
            <v>Adjudicaciones, expropiaciones e indemnizaciones de inmuebles</v>
          </cell>
          <cell r="C413" t="str">
            <v>S</v>
          </cell>
        </row>
        <row r="414">
          <cell r="A414">
            <v>590000</v>
          </cell>
          <cell r="B414" t="str">
            <v>ACTIVOS INTANGIBLES</v>
          </cell>
          <cell r="C414" t="str">
            <v>N</v>
          </cell>
        </row>
        <row r="415">
          <cell r="A415">
            <v>591000</v>
          </cell>
          <cell r="B415" t="str">
            <v>Software</v>
          </cell>
          <cell r="C415" t="str">
            <v>N</v>
          </cell>
        </row>
        <row r="416">
          <cell r="A416">
            <v>591001</v>
          </cell>
          <cell r="B416" t="str">
            <v>Software</v>
          </cell>
          <cell r="C416" t="str">
            <v>S</v>
          </cell>
        </row>
        <row r="417">
          <cell r="A417">
            <v>592000</v>
          </cell>
          <cell r="B417" t="str">
            <v>Patentes</v>
          </cell>
          <cell r="C417" t="str">
            <v>N</v>
          </cell>
        </row>
        <row r="418">
          <cell r="A418">
            <v>592001</v>
          </cell>
          <cell r="B418" t="str">
            <v>Patentes</v>
          </cell>
          <cell r="C418" t="str">
            <v>S</v>
          </cell>
        </row>
        <row r="419">
          <cell r="A419">
            <v>593000</v>
          </cell>
          <cell r="B419" t="str">
            <v>Marcas</v>
          </cell>
          <cell r="C419" t="str">
            <v>N</v>
          </cell>
        </row>
        <row r="420">
          <cell r="A420">
            <v>593001</v>
          </cell>
          <cell r="B420" t="str">
            <v>Marcas</v>
          </cell>
          <cell r="C420" t="str">
            <v>S</v>
          </cell>
        </row>
        <row r="421">
          <cell r="A421">
            <v>594000</v>
          </cell>
          <cell r="B421" t="str">
            <v>Derechos</v>
          </cell>
          <cell r="C421" t="str">
            <v>N</v>
          </cell>
        </row>
        <row r="422">
          <cell r="A422">
            <v>594001</v>
          </cell>
          <cell r="B422" t="str">
            <v>Derechos</v>
          </cell>
          <cell r="C422" t="str">
            <v>S</v>
          </cell>
        </row>
        <row r="423">
          <cell r="A423">
            <v>595000</v>
          </cell>
          <cell r="B423" t="str">
            <v>Concesiones</v>
          </cell>
          <cell r="C423" t="str">
            <v>N</v>
          </cell>
        </row>
        <row r="424">
          <cell r="A424">
            <v>595001</v>
          </cell>
          <cell r="B424" t="str">
            <v>Concesiones</v>
          </cell>
          <cell r="C424" t="str">
            <v>S</v>
          </cell>
        </row>
        <row r="425">
          <cell r="A425">
            <v>596000</v>
          </cell>
          <cell r="B425" t="str">
            <v>Franquicias</v>
          </cell>
          <cell r="C425" t="str">
            <v>N</v>
          </cell>
        </row>
        <row r="426">
          <cell r="A426">
            <v>596001</v>
          </cell>
          <cell r="B426" t="str">
            <v>Franquicias</v>
          </cell>
          <cell r="C426" t="str">
            <v>S</v>
          </cell>
        </row>
        <row r="427">
          <cell r="A427">
            <v>597000</v>
          </cell>
          <cell r="B427" t="str">
            <v>Licencias informáticas e intelectuales</v>
          </cell>
          <cell r="C427" t="str">
            <v>N</v>
          </cell>
        </row>
        <row r="428">
          <cell r="A428">
            <v>597001</v>
          </cell>
          <cell r="B428" t="str">
            <v>Licencias para programas de antivirus</v>
          </cell>
          <cell r="C428" t="str">
            <v>S</v>
          </cell>
        </row>
        <row r="429">
          <cell r="A429">
            <v>597002</v>
          </cell>
          <cell r="B429" t="str">
            <v>Licencias Microsoft Windows server 2003 edición estándar</v>
          </cell>
          <cell r="C429" t="str">
            <v>S</v>
          </cell>
        </row>
        <row r="430">
          <cell r="A430">
            <v>598000</v>
          </cell>
          <cell r="B430" t="str">
            <v>Licencias industriales, comerciales y otras</v>
          </cell>
          <cell r="C430" t="str">
            <v>N</v>
          </cell>
        </row>
        <row r="431">
          <cell r="A431">
            <v>598001</v>
          </cell>
          <cell r="B431" t="str">
            <v>Licencias industriales, comerciales y otras</v>
          </cell>
          <cell r="C431" t="str">
            <v>S</v>
          </cell>
        </row>
        <row r="432">
          <cell r="A432">
            <v>599000</v>
          </cell>
          <cell r="B432" t="str">
            <v>Otros activos intangibles</v>
          </cell>
          <cell r="C432" t="str">
            <v>N</v>
          </cell>
        </row>
        <row r="433">
          <cell r="A433">
            <v>599001</v>
          </cell>
          <cell r="B433" t="str">
            <v>Otros activos intangibles</v>
          </cell>
          <cell r="C433" t="str">
            <v>S</v>
          </cell>
        </row>
      </sheetData>
      <sheetData sheetId="4">
        <row r="1">
          <cell r="A1" t="str">
            <v>NOMENCLATURA</v>
          </cell>
          <cell r="B1" t="str">
            <v>DESCRPCION</v>
          </cell>
          <cell r="C1"/>
          <cell r="D1"/>
        </row>
        <row r="2">
          <cell r="A2">
            <v>100</v>
          </cell>
          <cell r="B2" t="str">
            <v>INGRESOS PROPIOS Y APROVECHAMIENTOS</v>
          </cell>
          <cell r="C2"/>
          <cell r="D2"/>
        </row>
        <row r="3">
          <cell r="A3">
            <v>101</v>
          </cell>
          <cell r="B3" t="str">
            <v>INGRESOS PROPIOS (IMPUESTOS, DERECHOS, PRODUCTOS Y APROVECHAMIENTOS)</v>
          </cell>
          <cell r="C3"/>
          <cell r="D3"/>
        </row>
        <row r="4">
          <cell r="A4">
            <v>102</v>
          </cell>
          <cell r="B4" t="str">
            <v>INGRESOS PROPIOS</v>
          </cell>
          <cell r="C4"/>
          <cell r="D4"/>
        </row>
        <row r="5">
          <cell r="A5">
            <v>103</v>
          </cell>
          <cell r="B5" t="str">
            <v>INGRESOS PROPIOS APORTACIONES MUNICIPALES</v>
          </cell>
          <cell r="C5"/>
          <cell r="D5"/>
        </row>
        <row r="6">
          <cell r="A6">
            <v>104</v>
          </cell>
          <cell r="B6" t="str">
            <v>APROVECHAMIENTO POR EL USO DE LA I NFRAESTRUCTURA ESTATAL</v>
          </cell>
          <cell r="C6"/>
          <cell r="D6"/>
        </row>
        <row r="7">
          <cell r="A7">
            <v>110</v>
          </cell>
          <cell r="B7" t="str">
            <v>RECURSO F.O.I.S.</v>
          </cell>
          <cell r="C7"/>
          <cell r="D7"/>
        </row>
        <row r="8">
          <cell r="A8">
            <v>111</v>
          </cell>
          <cell r="B8" t="str">
            <v>RECURSO A.P.I.</v>
          </cell>
          <cell r="C8"/>
          <cell r="D8"/>
        </row>
        <row r="9">
          <cell r="A9">
            <v>130</v>
          </cell>
          <cell r="B9" t="str">
            <v>Reintegro con Ingresos Propios Ramo 28</v>
          </cell>
          <cell r="C9"/>
          <cell r="D9"/>
        </row>
        <row r="10">
          <cell r="A10">
            <v>136</v>
          </cell>
          <cell r="B10" t="str">
            <v>Reintegro con Ingresos Propios FONE</v>
          </cell>
          <cell r="C10"/>
          <cell r="D10"/>
        </row>
        <row r="11">
          <cell r="A11">
            <v>137</v>
          </cell>
          <cell r="B11" t="str">
            <v>Reintegro con Ingresos Propios FASSA</v>
          </cell>
          <cell r="C11"/>
          <cell r="D11"/>
        </row>
        <row r="12">
          <cell r="A12">
            <v>138</v>
          </cell>
          <cell r="B12" t="str">
            <v>Reintegro con Ingresos Propios FAIS/FISE</v>
          </cell>
          <cell r="C12"/>
          <cell r="D12"/>
        </row>
        <row r="13">
          <cell r="A13">
            <v>139</v>
          </cell>
          <cell r="B13" t="str">
            <v>Reintegro con Ingresos Propios FAIS/FISM</v>
          </cell>
          <cell r="C13"/>
          <cell r="D13"/>
        </row>
        <row r="14">
          <cell r="A14">
            <v>140</v>
          </cell>
          <cell r="B14" t="str">
            <v>Reintegro con Ingresos Propios FORTAMUN</v>
          </cell>
          <cell r="C14"/>
          <cell r="D14"/>
        </row>
        <row r="15">
          <cell r="A15">
            <v>141</v>
          </cell>
          <cell r="B15" t="str">
            <v>Reintegro con Ingresos Propios FAM/Asistencia Social</v>
          </cell>
          <cell r="C15"/>
          <cell r="D15"/>
        </row>
        <row r="16">
          <cell r="A16">
            <v>142</v>
          </cell>
          <cell r="B16" t="str">
            <v>Reintegro con Ingresos Propios FAM/Infraest. Educación Básica</v>
          </cell>
          <cell r="C16"/>
          <cell r="D16"/>
        </row>
        <row r="17">
          <cell r="A17">
            <v>143</v>
          </cell>
          <cell r="B17" t="str">
            <v>Reintegro con Ingresos Propios FAM/ Infraest. Educación Media Superior y Superior</v>
          </cell>
          <cell r="C17"/>
          <cell r="D17"/>
        </row>
        <row r="18">
          <cell r="A18">
            <v>145</v>
          </cell>
          <cell r="B18" t="str">
            <v>Reintegro con Ingresos Propios FAETA/Educ. Tecnológica (CONALEP)</v>
          </cell>
          <cell r="C18"/>
          <cell r="D18"/>
        </row>
        <row r="19">
          <cell r="A19">
            <v>146</v>
          </cell>
          <cell r="B19" t="str">
            <v>Reintegro con Ingresos Propios FAETA Educ. Adultos (IEEA)</v>
          </cell>
          <cell r="C19"/>
          <cell r="D19"/>
        </row>
        <row r="20">
          <cell r="A20">
            <v>147</v>
          </cell>
          <cell r="B20" t="str">
            <v>Reintegro con Ingresos Propios FASP</v>
          </cell>
          <cell r="C20"/>
          <cell r="D20"/>
        </row>
        <row r="21">
          <cell r="A21">
            <v>148</v>
          </cell>
          <cell r="B21" t="str">
            <v>Reintegro con Ingresos Propios FAFEF</v>
          </cell>
          <cell r="C21"/>
          <cell r="D21"/>
        </row>
        <row r="22">
          <cell r="A22">
            <v>149</v>
          </cell>
          <cell r="B22" t="str">
            <v>Reintegro con Ingresos Propios SEDATU</v>
          </cell>
          <cell r="C22"/>
          <cell r="D22"/>
        </row>
        <row r="23">
          <cell r="A23">
            <v>161</v>
          </cell>
          <cell r="B23" t="str">
            <v>Reintegro con Ingresos Propios CULTURA Ramo 48</v>
          </cell>
          <cell r="C23"/>
          <cell r="D23"/>
        </row>
        <row r="24">
          <cell r="A24">
            <v>162</v>
          </cell>
          <cell r="B24" t="str">
            <v>Reintegro con Ingresos Propios UABCS</v>
          </cell>
          <cell r="C24"/>
          <cell r="D24"/>
        </row>
        <row r="25">
          <cell r="A25">
            <v>163</v>
          </cell>
          <cell r="B25" t="str">
            <v>Reintegro con Ingresos Propios CONAGUA</v>
          </cell>
          <cell r="C25"/>
          <cell r="D25"/>
        </row>
        <row r="26">
          <cell r="A26">
            <v>164</v>
          </cell>
          <cell r="B26" t="str">
            <v>Reintegro con Ingresos Propios SEGOB</v>
          </cell>
          <cell r="C26"/>
          <cell r="D26"/>
        </row>
        <row r="27">
          <cell r="A27">
            <v>165</v>
          </cell>
          <cell r="B27" t="str">
            <v>Reintegro con Ingresos Propios SECTUR</v>
          </cell>
          <cell r="C27"/>
          <cell r="D27"/>
        </row>
        <row r="28">
          <cell r="A28">
            <v>166</v>
          </cell>
          <cell r="B28" t="str">
            <v>Reintegro con Ingresos Propios PROFIS</v>
          </cell>
          <cell r="C28"/>
          <cell r="D28"/>
        </row>
        <row r="29">
          <cell r="A29">
            <v>167</v>
          </cell>
          <cell r="B29" t="str">
            <v>Reintegro con Ingresos Propios SSP</v>
          </cell>
          <cell r="C29"/>
          <cell r="D29"/>
        </row>
        <row r="30">
          <cell r="A30">
            <v>168</v>
          </cell>
          <cell r="B30" t="str">
            <v>Reintegro con Ingresos Propios COBACH</v>
          </cell>
          <cell r="C30"/>
          <cell r="D30"/>
        </row>
        <row r="31">
          <cell r="A31">
            <v>169</v>
          </cell>
          <cell r="B31" t="str">
            <v>Reintegro con Ingresos Propios Fondo Proporcional Peso a Peso</v>
          </cell>
          <cell r="C31"/>
          <cell r="D31"/>
        </row>
        <row r="32">
          <cell r="A32">
            <v>170</v>
          </cell>
          <cell r="B32" t="str">
            <v>Reintegro con Ingresos Propios CECYTE</v>
          </cell>
          <cell r="C32"/>
          <cell r="D32"/>
        </row>
        <row r="33">
          <cell r="A33">
            <v>171</v>
          </cell>
          <cell r="B33" t="str">
            <v>Reintegro con Ingresos Propios Imp. Ref. Penal (SETEC)</v>
          </cell>
          <cell r="C33"/>
          <cell r="D33"/>
        </row>
        <row r="34">
          <cell r="A34">
            <v>172</v>
          </cell>
          <cell r="B34" t="str">
            <v>Reintegro con Ingresos Propios CONADE</v>
          </cell>
          <cell r="C34"/>
          <cell r="D34"/>
        </row>
        <row r="35">
          <cell r="A35">
            <v>173</v>
          </cell>
          <cell r="B35" t="str">
            <v>Reintegro con Ingresos Propios Conv. Salud (Ramo 12)</v>
          </cell>
          <cell r="C35"/>
          <cell r="D35"/>
        </row>
        <row r="36">
          <cell r="A36">
            <v>174</v>
          </cell>
          <cell r="B36" t="str">
            <v>Reintegro con Ingresos Propios Secretaría de Economía</v>
          </cell>
          <cell r="C36"/>
          <cell r="D36"/>
        </row>
        <row r="37">
          <cell r="A37">
            <v>177</v>
          </cell>
          <cell r="B37" t="str">
            <v>Reintegro con Ingresos Propios SUBSEMUN</v>
          </cell>
          <cell r="C37"/>
          <cell r="D37"/>
        </row>
        <row r="38">
          <cell r="A38">
            <v>178</v>
          </cell>
          <cell r="B38" t="str">
            <v>Reintegro con Ingresos Propios Fondo Para La Infraest. de los Estados</v>
          </cell>
          <cell r="C38"/>
          <cell r="D38"/>
        </row>
        <row r="39">
          <cell r="A39">
            <v>179</v>
          </cell>
          <cell r="B39" t="str">
            <v>Reintegro con Ingresos Propios Apoyo Financiero Ext. UABCS</v>
          </cell>
          <cell r="C39"/>
          <cell r="D39"/>
        </row>
        <row r="40">
          <cell r="A40">
            <v>180</v>
          </cell>
          <cell r="B40" t="str">
            <v>Reintegro con Ingresos Propios Apoyo Financiero Ext. ISIFE</v>
          </cell>
          <cell r="C40"/>
          <cell r="D40"/>
        </row>
        <row r="41">
          <cell r="A41">
            <v>181</v>
          </cell>
          <cell r="B41" t="str">
            <v>Reintegro con Ingresos Propios Subs. Policía Estatal Acreditable (SPA)</v>
          </cell>
          <cell r="C41"/>
          <cell r="D41"/>
        </row>
        <row r="42">
          <cell r="A42">
            <v>182</v>
          </cell>
          <cell r="B42" t="str">
            <v>Reintegro con Ingresos Propios PROASP</v>
          </cell>
          <cell r="C42"/>
          <cell r="D42"/>
        </row>
        <row r="43">
          <cell r="A43">
            <v>183</v>
          </cell>
          <cell r="B43" t="str">
            <v>Reintegro con Ingresos Propios Ingresos Extraordinarios</v>
          </cell>
          <cell r="C43"/>
          <cell r="D43"/>
        </row>
        <row r="44">
          <cell r="A44">
            <v>184</v>
          </cell>
          <cell r="B44" t="str">
            <v>Reintegro con Ingresos Propios Ingresos Derivados del 5 Al Millar (Obra)</v>
          </cell>
          <cell r="C44"/>
          <cell r="D44"/>
        </row>
        <row r="45">
          <cell r="A45">
            <v>185</v>
          </cell>
          <cell r="B45" t="str">
            <v>Reintegro con Ingresos Propios Ingresos Extraordinarios Ramo 23</v>
          </cell>
          <cell r="C45"/>
          <cell r="D45"/>
        </row>
        <row r="46">
          <cell r="A46">
            <v>186</v>
          </cell>
          <cell r="B46" t="str">
            <v>Reintegro con Ingresos Propios Ingresos Extraordinarios Ramo 21</v>
          </cell>
          <cell r="C46"/>
          <cell r="D46"/>
        </row>
        <row r="47">
          <cell r="A47">
            <v>187</v>
          </cell>
          <cell r="B47" t="str">
            <v>Reintegro con Ingresos Propios Ingresos Extraordinarios Sep. Ramo 11</v>
          </cell>
          <cell r="C47"/>
          <cell r="D47"/>
        </row>
        <row r="48">
          <cell r="A48">
            <v>188</v>
          </cell>
          <cell r="B48" t="str">
            <v>Reintegro con Ingresos Propios Ingresos Ext. Ramo 09 (SCT)</v>
          </cell>
          <cell r="C48"/>
          <cell r="D48"/>
        </row>
        <row r="49">
          <cell r="A49">
            <v>189</v>
          </cell>
          <cell r="B49" t="str">
            <v>Reintegro con Ingresos Propios Ingresos Ext. Ramo 16 (SEMARNAT)</v>
          </cell>
          <cell r="C49"/>
          <cell r="D49"/>
        </row>
        <row r="50">
          <cell r="A50">
            <v>201</v>
          </cell>
          <cell r="B50" t="str">
            <v>BONO CUPÓN CERO</v>
          </cell>
          <cell r="C50"/>
          <cell r="D50"/>
        </row>
        <row r="51">
          <cell r="A51">
            <v>500</v>
          </cell>
          <cell r="B51" t="str">
            <v>RECURSOS FEDERALES</v>
          </cell>
          <cell r="C51"/>
          <cell r="D51"/>
        </row>
        <row r="52">
          <cell r="A52">
            <v>530</v>
          </cell>
          <cell r="B52" t="str">
            <v>PARTICIPACIONES Ramo 28</v>
          </cell>
          <cell r="C52"/>
          <cell r="D52"/>
        </row>
        <row r="53">
          <cell r="A53">
            <v>535</v>
          </cell>
          <cell r="B53" t="str">
            <v>INTERESES BANCARIOS PROYECTADOS, RECURSOS FEDERALES</v>
          </cell>
          <cell r="C53"/>
          <cell r="D53"/>
        </row>
        <row r="54">
          <cell r="A54">
            <v>536</v>
          </cell>
          <cell r="B54" t="str">
            <v>FONE Ramo 33</v>
          </cell>
          <cell r="C54"/>
          <cell r="D54"/>
        </row>
        <row r="55">
          <cell r="A55">
            <v>537</v>
          </cell>
          <cell r="B55" t="str">
            <v>FASSA Ramo 33</v>
          </cell>
          <cell r="C55"/>
          <cell r="D55"/>
        </row>
        <row r="56">
          <cell r="A56">
            <v>538</v>
          </cell>
          <cell r="B56" t="str">
            <v>FAIS/FISE Ramo 33</v>
          </cell>
          <cell r="C56"/>
          <cell r="D56"/>
        </row>
        <row r="57">
          <cell r="A57">
            <v>539</v>
          </cell>
          <cell r="B57" t="str">
            <v>FAIS/FISM Ramo 33</v>
          </cell>
          <cell r="C57"/>
          <cell r="D57"/>
        </row>
        <row r="58">
          <cell r="A58">
            <v>540</v>
          </cell>
          <cell r="B58" t="str">
            <v>FORTAMUN Ramo 33</v>
          </cell>
          <cell r="C58"/>
          <cell r="D58"/>
        </row>
        <row r="59">
          <cell r="A59">
            <v>541</v>
          </cell>
          <cell r="B59" t="str">
            <v>FAM/ASISTENCIA SOCIAL Ramo 33</v>
          </cell>
          <cell r="C59"/>
          <cell r="D59"/>
        </row>
        <row r="60">
          <cell r="A60">
            <v>542</v>
          </cell>
          <cell r="B60" t="str">
            <v>FAM/INFRAESTRUCTURA DE EDUCACIÓN BÁSICA Ramo 33</v>
          </cell>
          <cell r="C60"/>
          <cell r="D60"/>
        </row>
        <row r="61">
          <cell r="A61">
            <v>543</v>
          </cell>
          <cell r="B61" t="str">
            <v>FAM/EDUCACIÓN MEDIA SUPERIOR Y SUPERIOR Ramo 33</v>
          </cell>
          <cell r="C61"/>
          <cell r="D61"/>
        </row>
        <row r="62">
          <cell r="A62">
            <v>545</v>
          </cell>
          <cell r="B62" t="str">
            <v>FAETA/EDUCACIÓN TECNOLÓGICA ( CONALEP) Ramo 33</v>
          </cell>
          <cell r="C62"/>
          <cell r="D62"/>
        </row>
        <row r="63">
          <cell r="A63">
            <v>546</v>
          </cell>
          <cell r="B63" t="str">
            <v>FAETA/EDUCACIÓN ADULTOS (IEEA) Ramo 33</v>
          </cell>
          <cell r="C63"/>
          <cell r="D63"/>
        </row>
        <row r="64">
          <cell r="A64">
            <v>547</v>
          </cell>
          <cell r="B64" t="str">
            <v>FASP Ramo 33</v>
          </cell>
          <cell r="C64"/>
          <cell r="D64"/>
        </row>
        <row r="65">
          <cell r="A65">
            <v>548</v>
          </cell>
          <cell r="B65" t="str">
            <v>FAFEF Ramo 33</v>
          </cell>
          <cell r="C65"/>
          <cell r="D65"/>
        </row>
        <row r="66">
          <cell r="A66">
            <v>549</v>
          </cell>
          <cell r="B66" t="str">
            <v>SRIA. DE DES. AGRARIO TERRITORIAL Y URBANO (SEDATU) Ramo 15</v>
          </cell>
          <cell r="C66"/>
          <cell r="D66"/>
        </row>
        <row r="67">
          <cell r="A67">
            <v>561</v>
          </cell>
          <cell r="B67" t="str">
            <v>CULTURA FEDERAL Ramo 48</v>
          </cell>
          <cell r="C67"/>
          <cell r="D67"/>
        </row>
        <row r="68">
          <cell r="A68">
            <v>562</v>
          </cell>
          <cell r="B68" t="str">
            <v>UNIVERSIDAD AUTÓNOMA DE B.C.S. Ramo 11</v>
          </cell>
          <cell r="C68"/>
          <cell r="D68"/>
        </row>
        <row r="69">
          <cell r="A69">
            <v>563</v>
          </cell>
          <cell r="B69" t="str">
            <v>CONAGUA Ramo 16</v>
          </cell>
          <cell r="C69"/>
          <cell r="D69"/>
        </row>
        <row r="70">
          <cell r="A70">
            <v>564</v>
          </cell>
          <cell r="B70" t="str">
            <v>SECRETARÍA DE GOBERNACIÓN Ramo 04</v>
          </cell>
          <cell r="C70"/>
          <cell r="D70"/>
        </row>
        <row r="71">
          <cell r="A71">
            <v>565</v>
          </cell>
          <cell r="B71" t="str">
            <v>SECRETARÍA DE TURISMO Ramo 21</v>
          </cell>
          <cell r="C71"/>
          <cell r="D71"/>
        </row>
        <row r="72">
          <cell r="A72">
            <v>566</v>
          </cell>
          <cell r="B72" t="str">
            <v>PROFIS</v>
          </cell>
          <cell r="C72"/>
          <cell r="D72"/>
        </row>
        <row r="73">
          <cell r="A73">
            <v>567</v>
          </cell>
          <cell r="B73" t="str">
            <v>SECRETARÍA DE SEGURIDAD PÚBLICA</v>
          </cell>
          <cell r="C73"/>
          <cell r="D73"/>
        </row>
        <row r="74">
          <cell r="A74">
            <v>568</v>
          </cell>
          <cell r="B74" t="str">
            <v>COBACH Ramo 11</v>
          </cell>
          <cell r="C74"/>
          <cell r="D74"/>
        </row>
        <row r="75">
          <cell r="A75">
            <v>569</v>
          </cell>
          <cell r="B75" t="str">
            <v>FONDO PROPORCIONAL PESO A PESO</v>
          </cell>
          <cell r="C75"/>
          <cell r="D75"/>
        </row>
        <row r="76">
          <cell r="A76">
            <v>570</v>
          </cell>
          <cell r="B76" t="str">
            <v>CECYTE Ramo 11</v>
          </cell>
          <cell r="C76"/>
          <cell r="D76"/>
        </row>
        <row r="77">
          <cell r="A77">
            <v>571</v>
          </cell>
          <cell r="B77" t="str">
            <v>IMPLEMENTACIÓN DE LA REFORMA PENAL (SETEC)</v>
          </cell>
          <cell r="C77"/>
          <cell r="D77"/>
        </row>
        <row r="78">
          <cell r="A78">
            <v>572</v>
          </cell>
          <cell r="B78" t="str">
            <v>CONADE Ramo 11</v>
          </cell>
          <cell r="C78"/>
          <cell r="D78"/>
        </row>
        <row r="79">
          <cell r="A79">
            <v>573</v>
          </cell>
          <cell r="B79" t="str">
            <v>CONVENIOS Ramo 12</v>
          </cell>
          <cell r="C79"/>
          <cell r="D79"/>
        </row>
        <row r="80">
          <cell r="A80">
            <v>574</v>
          </cell>
          <cell r="B80" t="str">
            <v>SECRETARÍA DE ECONOMÍA Ramo 10</v>
          </cell>
          <cell r="C80"/>
          <cell r="D80"/>
        </row>
        <row r="81">
          <cell r="A81">
            <v>577</v>
          </cell>
          <cell r="B81" t="str">
            <v>SUBSIDIO SEGURIDAD PÚBLICA MUNICIPAL</v>
          </cell>
          <cell r="C81"/>
          <cell r="D81"/>
        </row>
        <row r="82">
          <cell r="A82">
            <v>578</v>
          </cell>
          <cell r="B82" t="str">
            <v>FIDEICOMISO PARA LA INFRAESTRUCTURA DE LOS ESTADOS Ramo 23</v>
          </cell>
          <cell r="C82"/>
          <cell r="D82"/>
        </row>
        <row r="83">
          <cell r="A83">
            <v>579</v>
          </cell>
          <cell r="B83" t="str">
            <v>APOYO FINANCIERO EXTRAORDINARIO UABCS Ramo 11</v>
          </cell>
          <cell r="C83"/>
          <cell r="D83"/>
        </row>
        <row r="84">
          <cell r="A84">
            <v>580</v>
          </cell>
          <cell r="B84" t="str">
            <v>APOYO FINANCIERO EXTRAORDINARIO ISIFE Ramo 11</v>
          </cell>
          <cell r="C84"/>
          <cell r="D84"/>
        </row>
        <row r="85">
          <cell r="A85">
            <v>581</v>
          </cell>
          <cell r="B85" t="str">
            <v>SUBSIDIO POLICÍA ESTATAL ACREDITABLE (SPA)</v>
          </cell>
          <cell r="C85"/>
          <cell r="D85"/>
        </row>
        <row r="86">
          <cell r="A86">
            <v>582</v>
          </cell>
          <cell r="B86" t="str">
            <v>PROASP PROG. DE ALCANCE NAL. EN MAT. DE SEG. PUB. Ramo 04</v>
          </cell>
          <cell r="C86"/>
          <cell r="D86"/>
        </row>
        <row r="87">
          <cell r="A87">
            <v>583</v>
          </cell>
          <cell r="B87" t="str">
            <v>INGRESOS EXTRAORDINARIOS</v>
          </cell>
          <cell r="C87"/>
          <cell r="D87"/>
        </row>
        <row r="88">
          <cell r="A88">
            <v>584</v>
          </cell>
          <cell r="B88" t="str">
            <v>INGRESOS DERIVADOS DEL 5 AL MILLAR (OBRA)</v>
          </cell>
          <cell r="C88"/>
          <cell r="D88"/>
        </row>
        <row r="89">
          <cell r="A89">
            <v>585</v>
          </cell>
          <cell r="B89" t="str">
            <v>INGRESOS EXT Ramo 23 ( Provisiones Salariales y Económicas )</v>
          </cell>
          <cell r="C89"/>
          <cell r="D89"/>
        </row>
        <row r="90">
          <cell r="A90">
            <v>586</v>
          </cell>
          <cell r="B90" t="str">
            <v>INGRESOS EXT Ramo 21 (TURISMO)</v>
          </cell>
          <cell r="C90"/>
          <cell r="D90"/>
        </row>
        <row r="91">
          <cell r="A91">
            <v>587</v>
          </cell>
          <cell r="B91" t="str">
            <v>INGRESOS EXT Ramo 11 (SEP)</v>
          </cell>
          <cell r="C91"/>
          <cell r="D91"/>
        </row>
        <row r="92">
          <cell r="A92">
            <v>588</v>
          </cell>
          <cell r="B92" t="str">
            <v>INGRESOS EXT Ramo 09 (SCT)</v>
          </cell>
          <cell r="C92"/>
          <cell r="D92"/>
        </row>
        <row r="93">
          <cell r="A93">
            <v>589</v>
          </cell>
          <cell r="B93" t="str">
            <v>INGRESOS EXT Ramo 16 (SEMARNAT)</v>
          </cell>
          <cell r="C93"/>
          <cell r="D93"/>
        </row>
        <row r="94">
          <cell r="A94">
            <v>590</v>
          </cell>
          <cell r="B94" t="str">
            <v>INGRESOS EXT FORTASEG Ramo 04 (GOBERNACIÓN)</v>
          </cell>
          <cell r="C94"/>
          <cell r="D94"/>
        </row>
        <row r="95">
          <cell r="A95">
            <v>591</v>
          </cell>
          <cell r="B95" t="str">
            <v>INGRESOS EXT Ramo 20 (BIENESTAR)</v>
          </cell>
          <cell r="C95"/>
          <cell r="D95"/>
        </row>
        <row r="96">
          <cell r="A96">
            <v>598</v>
          </cell>
          <cell r="B96" t="str">
            <v>REMANENTE FONE 2016</v>
          </cell>
          <cell r="C96"/>
          <cell r="D96"/>
        </row>
        <row r="97">
          <cell r="A97">
            <v>599</v>
          </cell>
          <cell r="B97" t="str">
            <v>REMANENTE FONE 2015</v>
          </cell>
          <cell r="C97"/>
          <cell r="D97"/>
        </row>
        <row r="98">
          <cell r="A98">
            <v>700</v>
          </cell>
          <cell r="B98" t="str">
            <v>OTROS RECURSOS</v>
          </cell>
          <cell r="C98"/>
          <cell r="D98"/>
        </row>
        <row r="99">
          <cell r="A99">
            <v>736</v>
          </cell>
          <cell r="B99" t="str">
            <v>RENDIMIENTOS FONE</v>
          </cell>
          <cell r="C99"/>
          <cell r="D99"/>
        </row>
        <row r="100">
          <cell r="A100">
            <v>737</v>
          </cell>
          <cell r="B100" t="str">
            <v>RENDIMIENTOS FAM</v>
          </cell>
          <cell r="C100"/>
          <cell r="D100"/>
        </row>
        <row r="101">
          <cell r="A101">
            <v>747</v>
          </cell>
          <cell r="B101" t="str">
            <v>RENDIMIENTOS FASP</v>
          </cell>
          <cell r="C101"/>
          <cell r="D101"/>
        </row>
        <row r="102">
          <cell r="A102">
            <v>783</v>
          </cell>
          <cell r="B102" t="str">
            <v>INGRESOS EXTRAORDINARIOS (OTROS)</v>
          </cell>
          <cell r="C102"/>
          <cell r="D102"/>
        </row>
      </sheetData>
      <sheetData sheetId="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AS"/>
      <sheetName val="CAPITULO"/>
      <sheetName val="PARTIDA"/>
      <sheetName val="COG"/>
      <sheetName val="FF"/>
      <sheetName val="PROCED"/>
    </sheetNames>
    <sheetDataSet>
      <sheetData sheetId="0"/>
      <sheetData sheetId="1"/>
      <sheetData sheetId="2">
        <row r="2">
          <cell r="H2" t="str">
            <v>MATERIALES</v>
          </cell>
        </row>
        <row r="3">
          <cell r="H3" t="str">
            <v>SERVICIOS</v>
          </cell>
        </row>
        <row r="4">
          <cell r="H4" t="str">
            <v>BIENES</v>
          </cell>
        </row>
      </sheetData>
      <sheetData sheetId="3"/>
      <sheetData sheetId="4"/>
      <sheetData sheetId="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AS"/>
      <sheetName val="CAPITULO"/>
      <sheetName val="PARTIDA"/>
      <sheetName val="COG"/>
      <sheetName val="ENE-MZO"/>
      <sheetName val="ABR-JUN"/>
      <sheetName val="FF"/>
      <sheetName val="PROCED"/>
    </sheetNames>
    <sheetDataSet>
      <sheetData sheetId="0"/>
      <sheetData sheetId="1"/>
      <sheetData sheetId="2">
        <row r="2">
          <cell r="H2" t="str">
            <v>MATERIALES</v>
          </cell>
        </row>
        <row r="3">
          <cell r="H3" t="str">
            <v>SERVICIOS</v>
          </cell>
        </row>
        <row r="4">
          <cell r="H4" t="str">
            <v>BIENES</v>
          </cell>
        </row>
      </sheetData>
      <sheetData sheetId="3">
        <row r="1">
          <cell r="A1" t="str">
            <v>CUENTA</v>
          </cell>
          <cell r="B1" t="str">
            <v>CONCEPTO</v>
          </cell>
          <cell r="C1" t="str">
            <v>AFECTABLE/ NO
AFECTABLE</v>
          </cell>
        </row>
        <row r="2">
          <cell r="A2">
            <v>210000</v>
          </cell>
          <cell r="B2" t="str">
            <v>MATERIALES DE ADMINISTRACIÓN, EMISIÓN DE DOCUMENTOS Y ARTÍCULO OFICIALES</v>
          </cell>
          <cell r="C2" t="str">
            <v>N</v>
          </cell>
        </row>
        <row r="3">
          <cell r="A3">
            <v>211000</v>
          </cell>
          <cell r="B3" t="str">
            <v>Materiales, útiles y equipos menores de oficina</v>
          </cell>
          <cell r="C3" t="str">
            <v>N</v>
          </cell>
        </row>
        <row r="4">
          <cell r="A4">
            <v>211001</v>
          </cell>
          <cell r="B4" t="str">
            <v>Material de oficina</v>
          </cell>
          <cell r="C4" t="str">
            <v>S</v>
          </cell>
        </row>
        <row r="5">
          <cell r="A5">
            <v>211003</v>
          </cell>
          <cell r="B5" t="str">
            <v>Articulos de Envoltura</v>
          </cell>
          <cell r="C5" t="str">
            <v>S</v>
          </cell>
        </row>
        <row r="6">
          <cell r="A6">
            <v>212000</v>
          </cell>
          <cell r="B6" t="str">
            <v>Materiales y útiles de impresión y reproducción</v>
          </cell>
          <cell r="C6" t="str">
            <v>N</v>
          </cell>
        </row>
        <row r="7">
          <cell r="A7">
            <v>212001</v>
          </cell>
          <cell r="B7" t="str">
            <v>Material y útiles de impresión</v>
          </cell>
          <cell r="C7" t="str">
            <v>S</v>
          </cell>
        </row>
        <row r="8">
          <cell r="A8">
            <v>213000</v>
          </cell>
          <cell r="B8" t="str">
            <v>Material estadístico y geográfico</v>
          </cell>
          <cell r="C8" t="str">
            <v>N</v>
          </cell>
        </row>
        <row r="9">
          <cell r="A9">
            <v>213001</v>
          </cell>
          <cell r="B9" t="str">
            <v>Material estadístico y geográfico</v>
          </cell>
          <cell r="C9" t="str">
            <v>S</v>
          </cell>
        </row>
        <row r="10">
          <cell r="A10">
            <v>214000</v>
          </cell>
          <cell r="B10" t="str">
            <v>Materiales, útiles y equipos menores de tecnologías de la información y comunicaciones</v>
          </cell>
          <cell r="C10" t="str">
            <v>N</v>
          </cell>
        </row>
        <row r="11">
          <cell r="A11">
            <v>214001</v>
          </cell>
          <cell r="B11" t="str">
            <v>Materiales, útiles y equipos menores de tecnologías de la información y comunicaciones</v>
          </cell>
          <cell r="C11" t="str">
            <v>S</v>
          </cell>
        </row>
        <row r="12">
          <cell r="A12">
            <v>215000</v>
          </cell>
          <cell r="B12" t="str">
            <v>Material impreso e información digital</v>
          </cell>
          <cell r="C12" t="str">
            <v>N</v>
          </cell>
        </row>
        <row r="13">
          <cell r="A13">
            <v>215001</v>
          </cell>
          <cell r="B13" t="str">
            <v>Material didáctico</v>
          </cell>
          <cell r="C13" t="str">
            <v>S</v>
          </cell>
        </row>
        <row r="14">
          <cell r="A14">
            <v>215002</v>
          </cell>
          <cell r="B14" t="str">
            <v>Suscripciones a Periódicos, Revistas y Publicaciones Especializadas</v>
          </cell>
          <cell r="C14" t="str">
            <v>S</v>
          </cell>
        </row>
        <row r="15">
          <cell r="A15">
            <v>215003</v>
          </cell>
          <cell r="B15" t="str">
            <v>Material impreso e información digital</v>
          </cell>
          <cell r="C15" t="str">
            <v>S</v>
          </cell>
        </row>
        <row r="16">
          <cell r="A16">
            <v>216000</v>
          </cell>
          <cell r="B16" t="str">
            <v>Material de limpieza</v>
          </cell>
          <cell r="C16" t="str">
            <v>N</v>
          </cell>
        </row>
        <row r="17">
          <cell r="A17">
            <v>216001</v>
          </cell>
          <cell r="B17" t="str">
            <v>Material de limpieza</v>
          </cell>
          <cell r="C17" t="str">
            <v>S</v>
          </cell>
        </row>
        <row r="18">
          <cell r="A18">
            <v>217000</v>
          </cell>
          <cell r="B18" t="str">
            <v>Materiales y útiles de enseñanza</v>
          </cell>
          <cell r="C18" t="str">
            <v>N</v>
          </cell>
        </row>
        <row r="19">
          <cell r="A19">
            <v>217001</v>
          </cell>
          <cell r="B19" t="str">
            <v>Materiales y útiles de enseñanza</v>
          </cell>
          <cell r="C19" t="str">
            <v>S</v>
          </cell>
        </row>
        <row r="20">
          <cell r="A20">
            <v>218000</v>
          </cell>
          <cell r="B20" t="str">
            <v>Materiales para el registro e identificación de bienes y personas</v>
          </cell>
          <cell r="C20" t="str">
            <v>N</v>
          </cell>
        </row>
        <row r="21">
          <cell r="A21">
            <v>218001</v>
          </cell>
          <cell r="B21" t="str">
            <v>Materiales para el registro e identificación de bienes y personas</v>
          </cell>
          <cell r="C21" t="str">
            <v>S</v>
          </cell>
        </row>
        <row r="22">
          <cell r="A22">
            <v>218002</v>
          </cell>
          <cell r="B22" t="str">
            <v>Placas, Engomados, Calcomanías y Hologramas</v>
          </cell>
          <cell r="C22" t="str">
            <v>S</v>
          </cell>
        </row>
        <row r="23">
          <cell r="A23">
            <v>218003</v>
          </cell>
          <cell r="B23" t="str">
            <v>Emisión de Licencias de Conducir</v>
          </cell>
          <cell r="C23" t="str">
            <v>S</v>
          </cell>
        </row>
        <row r="24">
          <cell r="A24">
            <v>218004</v>
          </cell>
          <cell r="B24" t="str">
            <v>Emisión de Formatos Únicos de Control Vehicular</v>
          </cell>
          <cell r="C24" t="str">
            <v>S</v>
          </cell>
        </row>
        <row r="25">
          <cell r="A25">
            <v>220000</v>
          </cell>
          <cell r="B25" t="str">
            <v>ALIMENTOS Y UTENSILIOS</v>
          </cell>
          <cell r="C25" t="str">
            <v>N</v>
          </cell>
        </row>
        <row r="26">
          <cell r="A26">
            <v>221000</v>
          </cell>
          <cell r="B26" t="str">
            <v>Productos alimenticios para personas</v>
          </cell>
          <cell r="C26" t="str">
            <v>N</v>
          </cell>
        </row>
        <row r="27">
          <cell r="A27">
            <v>221001</v>
          </cell>
          <cell r="B27" t="str">
            <v>Alimentación de personas</v>
          </cell>
          <cell r="C27" t="str">
            <v>S</v>
          </cell>
        </row>
        <row r="28">
          <cell r="A28">
            <v>222000</v>
          </cell>
          <cell r="B28" t="str">
            <v>Productos alimenticios para animales</v>
          </cell>
          <cell r="C28" t="str">
            <v>N</v>
          </cell>
        </row>
        <row r="29">
          <cell r="A29">
            <v>222001</v>
          </cell>
          <cell r="B29" t="str">
            <v>Alimentación de animales</v>
          </cell>
          <cell r="C29" t="str">
            <v>S</v>
          </cell>
        </row>
        <row r="30">
          <cell r="A30">
            <v>223000</v>
          </cell>
          <cell r="B30" t="str">
            <v>Utensilios para el servicio de alimentación</v>
          </cell>
          <cell r="C30" t="str">
            <v>N</v>
          </cell>
        </row>
        <row r="31">
          <cell r="A31">
            <v>223001</v>
          </cell>
          <cell r="B31" t="str">
            <v>Utensilios para el servicio de alimentación</v>
          </cell>
          <cell r="C31" t="str">
            <v>S</v>
          </cell>
        </row>
        <row r="32">
          <cell r="A32">
            <v>230000</v>
          </cell>
          <cell r="B32" t="str">
            <v>MATERIAS PRIMAS Y MATERIALES DE PRODUCCIÓN Y COMERCIALIZACIÓN</v>
          </cell>
          <cell r="C32" t="str">
            <v>N</v>
          </cell>
        </row>
        <row r="33">
          <cell r="A33">
            <v>231000</v>
          </cell>
          <cell r="B33" t="str">
            <v>Productos alimenticios, agropecuarios y forestales adquiridos como materia prima</v>
          </cell>
          <cell r="C33" t="str">
            <v>N</v>
          </cell>
        </row>
        <row r="34">
          <cell r="A34">
            <v>231001</v>
          </cell>
          <cell r="B34" t="str">
            <v>Materias primas para producción</v>
          </cell>
          <cell r="C34" t="str">
            <v>S</v>
          </cell>
        </row>
        <row r="35">
          <cell r="A35">
            <v>232000</v>
          </cell>
          <cell r="B35" t="str">
            <v>Insumos textiles adquiridos como materia prima</v>
          </cell>
          <cell r="C35" t="str">
            <v>N</v>
          </cell>
        </row>
        <row r="36">
          <cell r="A36">
            <v>232001</v>
          </cell>
          <cell r="B36" t="str">
            <v>Insumos textiles adquiridos como materia prima</v>
          </cell>
          <cell r="C36" t="str">
            <v>S</v>
          </cell>
        </row>
        <row r="37">
          <cell r="A37">
            <v>233000</v>
          </cell>
          <cell r="B37" t="str">
            <v>Productos de papel, cartón e impresos adquiridos como materia prima</v>
          </cell>
          <cell r="C37" t="str">
            <v>N</v>
          </cell>
        </row>
        <row r="38">
          <cell r="A38">
            <v>233001</v>
          </cell>
          <cell r="B38" t="str">
            <v>Productos de papel, cartón e impresos adquiridos como materia prima</v>
          </cell>
          <cell r="C38" t="str">
            <v>S</v>
          </cell>
        </row>
        <row r="39">
          <cell r="A39">
            <v>234000</v>
          </cell>
          <cell r="B39" t="str">
            <v>Combustibles, lubricantes, aditivos, carbón y sus derivados adquiridos como materia prima</v>
          </cell>
          <cell r="C39" t="str">
            <v>N</v>
          </cell>
        </row>
        <row r="40">
          <cell r="A40">
            <v>234001</v>
          </cell>
          <cell r="B40" t="str">
            <v>Combustibles, lubricantes, aditivos, carbón y sus derivados adquiridos como materia prima</v>
          </cell>
          <cell r="C40" t="str">
            <v>S</v>
          </cell>
        </row>
        <row r="41">
          <cell r="A41">
            <v>235000</v>
          </cell>
          <cell r="B41" t="str">
            <v>Productos químicos, farmacéuticos y de laboratorio adquiridos como materia prima</v>
          </cell>
          <cell r="C41" t="str">
            <v>N</v>
          </cell>
        </row>
        <row r="42">
          <cell r="A42">
            <v>235001</v>
          </cell>
          <cell r="B42" t="str">
            <v>Productos químicos, farmacéuticos y de laboratorio adquiridos como materia prima</v>
          </cell>
          <cell r="C42" t="str">
            <v>S</v>
          </cell>
        </row>
        <row r="43">
          <cell r="A43">
            <v>236000</v>
          </cell>
          <cell r="B43" t="str">
            <v>Productos metálicos y a base de minerales no metálicos adquiridos como materia prima</v>
          </cell>
          <cell r="C43" t="str">
            <v>N</v>
          </cell>
        </row>
        <row r="44">
          <cell r="A44">
            <v>236001</v>
          </cell>
          <cell r="B44" t="str">
            <v>Productos metálicos y a base de minerales no metálicos adquiridos como materia prima</v>
          </cell>
          <cell r="C44" t="str">
            <v>S</v>
          </cell>
        </row>
        <row r="45">
          <cell r="A45">
            <v>237000</v>
          </cell>
          <cell r="B45" t="str">
            <v>Productos de cuero, piel, plástico y hule adquiridos como materia prima</v>
          </cell>
          <cell r="C45" t="str">
            <v>N</v>
          </cell>
        </row>
        <row r="46">
          <cell r="A46">
            <v>237001</v>
          </cell>
          <cell r="B46" t="str">
            <v>Productos de cuero, piel, plástico y hule adquiridos como materia prima</v>
          </cell>
          <cell r="C46" t="str">
            <v>S</v>
          </cell>
        </row>
        <row r="47">
          <cell r="A47">
            <v>238000</v>
          </cell>
          <cell r="B47" t="str">
            <v>Mercancías adquiridas para su comercialización</v>
          </cell>
          <cell r="C47" t="str">
            <v>N</v>
          </cell>
        </row>
        <row r="48">
          <cell r="A48">
            <v>238001</v>
          </cell>
          <cell r="B48" t="str">
            <v>Mercancías adquiridas para su comercialización</v>
          </cell>
          <cell r="C48" t="str">
            <v>S</v>
          </cell>
        </row>
        <row r="49">
          <cell r="A49">
            <v>240000</v>
          </cell>
          <cell r="B49" t="str">
            <v>MATERIALES Y ARTÍCULOS DE CONSTRUCCIÓN Y DE REPARACIÓN</v>
          </cell>
          <cell r="C49" t="str">
            <v>N</v>
          </cell>
        </row>
        <row r="50">
          <cell r="A50">
            <v>241000</v>
          </cell>
          <cell r="B50" t="str">
            <v>Productos minerales no metálicos</v>
          </cell>
          <cell r="C50" t="str">
            <v>N</v>
          </cell>
        </row>
        <row r="51">
          <cell r="A51">
            <v>241001</v>
          </cell>
          <cell r="B51" t="str">
            <v>Productos minerales no metálicos</v>
          </cell>
          <cell r="C51" t="str">
            <v>S</v>
          </cell>
        </row>
        <row r="52">
          <cell r="A52">
            <v>242000</v>
          </cell>
          <cell r="B52" t="str">
            <v>Cemento y productos de concreto</v>
          </cell>
          <cell r="C52" t="str">
            <v>N</v>
          </cell>
        </row>
        <row r="53">
          <cell r="A53">
            <v>242001</v>
          </cell>
          <cell r="B53" t="str">
            <v>Cemento y productos de concreto</v>
          </cell>
          <cell r="C53" t="str">
            <v>S</v>
          </cell>
        </row>
        <row r="54">
          <cell r="A54">
            <v>243000</v>
          </cell>
          <cell r="B54" t="str">
            <v>Cal, yeso y productos de yeso</v>
          </cell>
          <cell r="C54" t="str">
            <v>N</v>
          </cell>
        </row>
        <row r="55">
          <cell r="A55">
            <v>243001</v>
          </cell>
          <cell r="B55" t="str">
            <v>Cal, yeso y productos de yeso</v>
          </cell>
          <cell r="C55" t="str">
            <v>S</v>
          </cell>
        </row>
        <row r="56">
          <cell r="A56">
            <v>244000</v>
          </cell>
          <cell r="B56" t="str">
            <v>Madera y productos de madera</v>
          </cell>
          <cell r="C56" t="str">
            <v>N</v>
          </cell>
        </row>
        <row r="57">
          <cell r="A57">
            <v>244001</v>
          </cell>
          <cell r="B57" t="str">
            <v>Madera y productos de madera</v>
          </cell>
          <cell r="C57" t="str">
            <v>S</v>
          </cell>
        </row>
        <row r="58">
          <cell r="A58">
            <v>245000</v>
          </cell>
          <cell r="B58" t="str">
            <v>Vidrio y productos de vidrio</v>
          </cell>
          <cell r="C58" t="str">
            <v>N</v>
          </cell>
        </row>
        <row r="59">
          <cell r="A59">
            <v>245001</v>
          </cell>
          <cell r="B59" t="str">
            <v>Vidrio y productos de vidrio</v>
          </cell>
          <cell r="C59" t="str">
            <v>S</v>
          </cell>
        </row>
        <row r="60">
          <cell r="A60">
            <v>246000</v>
          </cell>
          <cell r="B60" t="str">
            <v>Material eléctrico y electrónico</v>
          </cell>
          <cell r="C60" t="str">
            <v>N</v>
          </cell>
        </row>
        <row r="61">
          <cell r="A61">
            <v>246001</v>
          </cell>
          <cell r="B61" t="str">
            <v>Material eléctrico</v>
          </cell>
          <cell r="C61" t="str">
            <v>S</v>
          </cell>
        </row>
        <row r="62">
          <cell r="A62">
            <v>246002</v>
          </cell>
          <cell r="B62" t="str">
            <v>Material electrónico</v>
          </cell>
          <cell r="C62" t="str">
            <v>S</v>
          </cell>
        </row>
        <row r="63">
          <cell r="A63">
            <v>247000</v>
          </cell>
          <cell r="B63" t="str">
            <v>Artículos metálicos para la construcción</v>
          </cell>
          <cell r="C63" t="str">
            <v>N</v>
          </cell>
        </row>
        <row r="64">
          <cell r="A64">
            <v>247001</v>
          </cell>
          <cell r="B64" t="str">
            <v>Artículos metálicos para la construcción</v>
          </cell>
          <cell r="C64" t="str">
            <v>S</v>
          </cell>
        </row>
        <row r="65">
          <cell r="A65">
            <v>248000</v>
          </cell>
          <cell r="B65" t="str">
            <v>Materiales complementarios</v>
          </cell>
          <cell r="C65" t="str">
            <v>N</v>
          </cell>
        </row>
        <row r="66">
          <cell r="A66">
            <v>248001</v>
          </cell>
          <cell r="B66" t="str">
            <v>Materiales complementarios</v>
          </cell>
          <cell r="C66" t="str">
            <v>S</v>
          </cell>
        </row>
        <row r="67">
          <cell r="A67">
            <v>249000</v>
          </cell>
          <cell r="B67" t="str">
            <v>Otros materiales y artículos de construcción y reparación</v>
          </cell>
          <cell r="C67" t="str">
            <v>N</v>
          </cell>
        </row>
        <row r="68">
          <cell r="A68">
            <v>249001</v>
          </cell>
          <cell r="B68" t="str">
            <v>Materiales de construcción y complementarios</v>
          </cell>
          <cell r="C68" t="str">
            <v>S</v>
          </cell>
        </row>
        <row r="69">
          <cell r="A69">
            <v>249002</v>
          </cell>
          <cell r="B69" t="str">
            <v>Otros materiales de construcción y reparación</v>
          </cell>
          <cell r="C69" t="str">
            <v>S</v>
          </cell>
        </row>
        <row r="70">
          <cell r="A70">
            <v>250000</v>
          </cell>
          <cell r="B70" t="str">
            <v>PRODUCTOS QUÍMICOS, FARMACÉUTICOS Y DE LABORATORIO</v>
          </cell>
          <cell r="C70" t="str">
            <v>N</v>
          </cell>
        </row>
        <row r="71">
          <cell r="A71">
            <v>251000</v>
          </cell>
          <cell r="B71" t="str">
            <v>Productos químicos básicos</v>
          </cell>
          <cell r="C71" t="str">
            <v>N</v>
          </cell>
        </row>
        <row r="72">
          <cell r="A72">
            <v>251001</v>
          </cell>
          <cell r="B72" t="str">
            <v>Gas Refrigerante</v>
          </cell>
          <cell r="C72" t="str">
            <v>S</v>
          </cell>
        </row>
        <row r="73">
          <cell r="A73">
            <v>252000</v>
          </cell>
          <cell r="B73" t="str">
            <v>Fertilizantes, pesticidas y otros agroquímicos</v>
          </cell>
          <cell r="C73" t="str">
            <v>N</v>
          </cell>
        </row>
        <row r="74">
          <cell r="A74">
            <v>252001</v>
          </cell>
          <cell r="B74" t="str">
            <v>Fertilizantes, pesticidas y otros agroquímicos</v>
          </cell>
          <cell r="C74" t="str">
            <v>S</v>
          </cell>
        </row>
        <row r="75">
          <cell r="A75">
            <v>253000</v>
          </cell>
          <cell r="B75" t="str">
            <v>Medicinas y productos químicos, farmacéuticos</v>
          </cell>
          <cell r="C75" t="str">
            <v>N</v>
          </cell>
        </row>
        <row r="76">
          <cell r="A76">
            <v>253001</v>
          </cell>
          <cell r="B76" t="str">
            <v>Material y productos químicos, farmacéuticos</v>
          </cell>
          <cell r="C76" t="str">
            <v>S</v>
          </cell>
        </row>
        <row r="77">
          <cell r="A77">
            <v>254000</v>
          </cell>
          <cell r="B77" t="str">
            <v>Materiales, accesorios y suministros médicos</v>
          </cell>
          <cell r="C77" t="str">
            <v>N</v>
          </cell>
        </row>
        <row r="78">
          <cell r="A78">
            <v>254001</v>
          </cell>
          <cell r="B78" t="str">
            <v>Materiales, accesorios y suministros médicos</v>
          </cell>
          <cell r="C78" t="str">
            <v>S</v>
          </cell>
        </row>
        <row r="79">
          <cell r="A79">
            <v>255000</v>
          </cell>
          <cell r="B79" t="str">
            <v>Materiales, accesorios y suministros de laboratorio</v>
          </cell>
          <cell r="C79" t="str">
            <v>N</v>
          </cell>
        </row>
        <row r="80">
          <cell r="A80">
            <v>255001</v>
          </cell>
          <cell r="B80" t="str">
            <v>Materiales, accesorios y suministros de laboratorio</v>
          </cell>
          <cell r="C80" t="str">
            <v>S</v>
          </cell>
        </row>
        <row r="81">
          <cell r="A81">
            <v>256000</v>
          </cell>
          <cell r="B81" t="str">
            <v>Fibras sintéticas, hules, plásticos y derivados</v>
          </cell>
          <cell r="C81" t="str">
            <v>N</v>
          </cell>
        </row>
        <row r="82">
          <cell r="A82">
            <v>256001</v>
          </cell>
          <cell r="B82" t="str">
            <v>Fibras sintéticas, hules, plásticos y derivados</v>
          </cell>
          <cell r="C82" t="str">
            <v>S</v>
          </cell>
        </row>
        <row r="83">
          <cell r="A83">
            <v>259000</v>
          </cell>
          <cell r="B83" t="str">
            <v>Otros productos químicos</v>
          </cell>
          <cell r="C83" t="str">
            <v>N</v>
          </cell>
        </row>
        <row r="84">
          <cell r="A84">
            <v>259001</v>
          </cell>
          <cell r="B84" t="str">
            <v>Otros productos químicos</v>
          </cell>
          <cell r="C84" t="str">
            <v>S</v>
          </cell>
        </row>
        <row r="85">
          <cell r="A85">
            <v>260000</v>
          </cell>
          <cell r="B85" t="str">
            <v>COMBUSTIBLES, LUBRICANTES Y ADITIVOS</v>
          </cell>
          <cell r="C85" t="str">
            <v>N</v>
          </cell>
        </row>
        <row r="86">
          <cell r="A86">
            <v>261000</v>
          </cell>
          <cell r="B86" t="str">
            <v>Combustibles, lubricantes y aditivos</v>
          </cell>
          <cell r="C86" t="str">
            <v>N</v>
          </cell>
        </row>
        <row r="87">
          <cell r="A87">
            <v>261001</v>
          </cell>
          <cell r="B87" t="str">
            <v>Combustibles</v>
          </cell>
          <cell r="C87" t="str">
            <v>S</v>
          </cell>
        </row>
        <row r="88">
          <cell r="A88">
            <v>261002</v>
          </cell>
          <cell r="B88" t="str">
            <v>Lubricantes y aditivos</v>
          </cell>
          <cell r="C88" t="str">
            <v>S</v>
          </cell>
        </row>
        <row r="89">
          <cell r="A89">
            <v>262000</v>
          </cell>
          <cell r="B89" t="str">
            <v>Carbón y sus derivados</v>
          </cell>
          <cell r="C89" t="str">
            <v>N</v>
          </cell>
        </row>
        <row r="90">
          <cell r="A90">
            <v>262001</v>
          </cell>
          <cell r="B90" t="str">
            <v>Carbón y sus derivados</v>
          </cell>
          <cell r="C90" t="str">
            <v>S</v>
          </cell>
        </row>
        <row r="91">
          <cell r="A91">
            <v>270000</v>
          </cell>
          <cell r="B91" t="str">
            <v>VESTUARIO, BLANCOS, PRENDAS DE PROTECCIÓN Y ARTÍCULOS DEPORTIVOS</v>
          </cell>
          <cell r="C91" t="str">
            <v>N</v>
          </cell>
        </row>
        <row r="92">
          <cell r="A92">
            <v>271000</v>
          </cell>
          <cell r="B92" t="str">
            <v>Vestuario y uniformes</v>
          </cell>
          <cell r="C92" t="str">
            <v>N</v>
          </cell>
        </row>
        <row r="93">
          <cell r="A93">
            <v>271001</v>
          </cell>
          <cell r="B93" t="str">
            <v>Ropa, vestuario y equipo</v>
          </cell>
          <cell r="C93" t="str">
            <v>S</v>
          </cell>
        </row>
        <row r="94">
          <cell r="A94">
            <v>272000</v>
          </cell>
          <cell r="B94" t="str">
            <v>Prendas de seguridad y protección personal</v>
          </cell>
          <cell r="C94" t="str">
            <v>N</v>
          </cell>
        </row>
        <row r="95">
          <cell r="A95">
            <v>272001</v>
          </cell>
          <cell r="B95" t="str">
            <v>Materiales explosivos y de seguridad pública</v>
          </cell>
          <cell r="C95" t="str">
            <v>S</v>
          </cell>
        </row>
        <row r="96">
          <cell r="A96">
            <v>272002</v>
          </cell>
          <cell r="B96" t="str">
            <v>Prendas de seguridad y protección personal</v>
          </cell>
          <cell r="C96" t="str">
            <v>S</v>
          </cell>
        </row>
        <row r="97">
          <cell r="A97">
            <v>273000</v>
          </cell>
          <cell r="B97" t="str">
            <v>Artículos deportivos</v>
          </cell>
          <cell r="C97" t="str">
            <v>N</v>
          </cell>
        </row>
        <row r="98">
          <cell r="A98">
            <v>273001</v>
          </cell>
          <cell r="B98" t="str">
            <v>Artículos deportivos</v>
          </cell>
          <cell r="C98" t="str">
            <v>S</v>
          </cell>
        </row>
        <row r="99">
          <cell r="A99">
            <v>274000</v>
          </cell>
          <cell r="B99" t="str">
            <v>Productos textiles</v>
          </cell>
          <cell r="C99" t="str">
            <v>N</v>
          </cell>
        </row>
        <row r="100">
          <cell r="A100">
            <v>274001</v>
          </cell>
          <cell r="B100" t="str">
            <v>Productos textiles</v>
          </cell>
          <cell r="C100" t="str">
            <v>S</v>
          </cell>
        </row>
        <row r="101">
          <cell r="A101">
            <v>275000</v>
          </cell>
          <cell r="B101" t="str">
            <v>Blancos y otros productos textiles, excepto prendas de vestir</v>
          </cell>
          <cell r="C101" t="str">
            <v>N</v>
          </cell>
        </row>
        <row r="102">
          <cell r="A102">
            <v>275001</v>
          </cell>
          <cell r="B102" t="str">
            <v>Blancos y otros productos textiles, excepto prendas de vestir</v>
          </cell>
          <cell r="C102" t="str">
            <v>S</v>
          </cell>
        </row>
        <row r="103">
          <cell r="A103">
            <v>280000</v>
          </cell>
          <cell r="B103" t="str">
            <v>MATERIALES Y SUMINISTROS PARA SEGURIDAD</v>
          </cell>
          <cell r="C103" t="str">
            <v>N</v>
          </cell>
        </row>
        <row r="104">
          <cell r="A104">
            <v>281000</v>
          </cell>
          <cell r="B104" t="str">
            <v>Sustancias y materiales explosivos</v>
          </cell>
          <cell r="C104" t="str">
            <v>N</v>
          </cell>
        </row>
        <row r="105">
          <cell r="A105">
            <v>281001</v>
          </cell>
          <cell r="B105" t="str">
            <v>Sustancias y materiales explosivos</v>
          </cell>
          <cell r="C105" t="str">
            <v>S</v>
          </cell>
        </row>
        <row r="106">
          <cell r="A106">
            <v>282000</v>
          </cell>
          <cell r="B106" t="str">
            <v>Materiales de seguridad pública</v>
          </cell>
          <cell r="C106" t="str">
            <v>N</v>
          </cell>
        </row>
        <row r="107">
          <cell r="A107">
            <v>282001</v>
          </cell>
          <cell r="B107" t="str">
            <v>Materiales de seguridad pública</v>
          </cell>
          <cell r="C107" t="str">
            <v>S</v>
          </cell>
        </row>
        <row r="108">
          <cell r="A108">
            <v>283000</v>
          </cell>
          <cell r="B108" t="str">
            <v>Prendas de protección para seguridad pública y nacional</v>
          </cell>
          <cell r="C108" t="str">
            <v>N</v>
          </cell>
        </row>
        <row r="109">
          <cell r="A109">
            <v>283001</v>
          </cell>
          <cell r="B109" t="str">
            <v>Prendas de protección para seguridad pública</v>
          </cell>
          <cell r="C109" t="str">
            <v>S</v>
          </cell>
        </row>
        <row r="110">
          <cell r="A110">
            <v>290000</v>
          </cell>
          <cell r="B110" t="str">
            <v>HERRAMIENTAS, REFACCIONES Y ACCESORIOS MENORES</v>
          </cell>
          <cell r="C110" t="str">
            <v>N</v>
          </cell>
        </row>
        <row r="111">
          <cell r="A111">
            <v>291000</v>
          </cell>
          <cell r="B111" t="str">
            <v>Herramientas menores</v>
          </cell>
          <cell r="C111" t="str">
            <v>N</v>
          </cell>
        </row>
        <row r="112">
          <cell r="A112">
            <v>291001</v>
          </cell>
          <cell r="B112" t="str">
            <v>Herramientas Auxiliares de Trabajo</v>
          </cell>
          <cell r="C112" t="str">
            <v>S</v>
          </cell>
        </row>
        <row r="113">
          <cell r="A113">
            <v>292000</v>
          </cell>
          <cell r="B113" t="str">
            <v>Refacciones y accesorios menores de edificios</v>
          </cell>
          <cell r="C113" t="str">
            <v>N</v>
          </cell>
        </row>
        <row r="114">
          <cell r="A114">
            <v>292001</v>
          </cell>
          <cell r="B114" t="str">
            <v>Refacciones y accesorios menores de edificios (candados, cerraduras, chapas, llaves)</v>
          </cell>
          <cell r="C114" t="str">
            <v>S</v>
          </cell>
        </row>
        <row r="115">
          <cell r="A115">
            <v>293000</v>
          </cell>
          <cell r="B115" t="str">
            <v>Refacciones y accesorios menores de mobiliario y equipo de administración, educacional y recreativo</v>
          </cell>
          <cell r="C115" t="str">
            <v>N</v>
          </cell>
        </row>
        <row r="116">
          <cell r="A116">
            <v>293001</v>
          </cell>
          <cell r="B116" t="str">
            <v>Refacciones y accesorios menores de mobiliario y equipo de administración, educacional y recreativo</v>
          </cell>
          <cell r="C116" t="str">
            <v>S</v>
          </cell>
        </row>
        <row r="117">
          <cell r="A117">
            <v>294000</v>
          </cell>
          <cell r="B117" t="str">
            <v>Refacciones y accesorios menores de equipo de cómputo y tecnologías de la información</v>
          </cell>
          <cell r="C117" t="str">
            <v>N</v>
          </cell>
        </row>
        <row r="118">
          <cell r="A118">
            <v>294001</v>
          </cell>
          <cell r="B118" t="str">
            <v>Dispositivos Internos y Externos de Equipo de Computo</v>
          </cell>
          <cell r="C118" t="str">
            <v>S</v>
          </cell>
        </row>
        <row r="119">
          <cell r="A119">
            <v>294002</v>
          </cell>
          <cell r="B119" t="str">
            <v>Refacciones y Accesorios Menores de Equipo de Computo</v>
          </cell>
          <cell r="C119" t="str">
            <v>S</v>
          </cell>
        </row>
        <row r="120">
          <cell r="A120">
            <v>295000</v>
          </cell>
          <cell r="B120" t="str">
            <v>Refacciones y accesorios menores de equipo e instrumental médico y de laboratorio</v>
          </cell>
          <cell r="C120" t="str">
            <v>N</v>
          </cell>
        </row>
        <row r="121">
          <cell r="A121">
            <v>295001</v>
          </cell>
          <cell r="B121" t="str">
            <v>Refacciones y accesorios menores de equipo e instrumental médico y de laboratorio</v>
          </cell>
          <cell r="C121" t="str">
            <v>S</v>
          </cell>
        </row>
        <row r="122">
          <cell r="A122">
            <v>296000</v>
          </cell>
          <cell r="B122" t="str">
            <v>Refacciones y accesorios menores de equipo de transporte</v>
          </cell>
          <cell r="C122" t="str">
            <v>N</v>
          </cell>
        </row>
        <row r="123">
          <cell r="A123">
            <v>296001</v>
          </cell>
          <cell r="B123" t="str">
            <v>Herramientas, refacciones y accesorios</v>
          </cell>
          <cell r="C123" t="str">
            <v>S</v>
          </cell>
        </row>
        <row r="124">
          <cell r="A124">
            <v>297000</v>
          </cell>
          <cell r="B124" t="str">
            <v>Refacciones y accesorios menores de equipo de defensa y seguridad</v>
          </cell>
          <cell r="C124" t="str">
            <v>N</v>
          </cell>
        </row>
        <row r="125">
          <cell r="A125">
            <v>297001</v>
          </cell>
          <cell r="B125" t="str">
            <v>Refacciones y accesorios menores de equipo de defensa y seguridad</v>
          </cell>
          <cell r="C125" t="str">
            <v>S</v>
          </cell>
        </row>
        <row r="126">
          <cell r="A126">
            <v>298000</v>
          </cell>
          <cell r="B126" t="str">
            <v>Refacciones y accesorios menores de maquinaria y otros equipos</v>
          </cell>
          <cell r="C126" t="str">
            <v>N</v>
          </cell>
        </row>
        <row r="127">
          <cell r="A127">
            <v>298001</v>
          </cell>
          <cell r="B127" t="str">
            <v>Refacciones y accesorios menores de maquinaria y otros equipos</v>
          </cell>
          <cell r="C127" t="str">
            <v>S</v>
          </cell>
        </row>
        <row r="128">
          <cell r="A128">
            <v>299000</v>
          </cell>
          <cell r="B128" t="str">
            <v>Refacciones y accesorios menores otros bienes muebles</v>
          </cell>
          <cell r="C128" t="str">
            <v>N</v>
          </cell>
        </row>
        <row r="129">
          <cell r="A129">
            <v>299001</v>
          </cell>
          <cell r="B129" t="str">
            <v>Refacciones y accesorios menores otros bienes muebles</v>
          </cell>
          <cell r="C129" t="str">
            <v>S</v>
          </cell>
        </row>
        <row r="130">
          <cell r="A130">
            <v>300000</v>
          </cell>
          <cell r="B130" t="str">
            <v>SERVICIOS GENERALES</v>
          </cell>
          <cell r="C130" t="str">
            <v>N</v>
          </cell>
        </row>
        <row r="131">
          <cell r="A131">
            <v>310000</v>
          </cell>
          <cell r="B131" t="str">
            <v>SERVICIOS BÁSICOS</v>
          </cell>
          <cell r="C131" t="str">
            <v>N</v>
          </cell>
        </row>
        <row r="132">
          <cell r="A132">
            <v>311000</v>
          </cell>
          <cell r="B132" t="str">
            <v>Energía eléctrica</v>
          </cell>
          <cell r="C132" t="str">
            <v>N</v>
          </cell>
        </row>
        <row r="133">
          <cell r="A133">
            <v>311001</v>
          </cell>
          <cell r="B133" t="str">
            <v>Servicio de energía eléctrica</v>
          </cell>
          <cell r="C133" t="str">
            <v>S</v>
          </cell>
        </row>
        <row r="134">
          <cell r="A134">
            <v>311002</v>
          </cell>
          <cell r="B134" t="str">
            <v>Contratación del servicio de energía eléctrica</v>
          </cell>
          <cell r="C134" t="str">
            <v>S</v>
          </cell>
        </row>
        <row r="135">
          <cell r="A135">
            <v>312000</v>
          </cell>
          <cell r="B135" t="str">
            <v>Gas</v>
          </cell>
          <cell r="C135" t="str">
            <v>N</v>
          </cell>
        </row>
        <row r="136">
          <cell r="A136">
            <v>312001</v>
          </cell>
          <cell r="B136" t="str">
            <v>Servicio de Gas L.P.</v>
          </cell>
          <cell r="C136" t="str">
            <v>S</v>
          </cell>
        </row>
        <row r="137">
          <cell r="A137">
            <v>313000</v>
          </cell>
          <cell r="B137" t="str">
            <v>Agua</v>
          </cell>
          <cell r="C137" t="str">
            <v>N</v>
          </cell>
        </row>
        <row r="138">
          <cell r="A138">
            <v>313001</v>
          </cell>
          <cell r="B138" t="str">
            <v>Servicio de agua potable</v>
          </cell>
          <cell r="C138" t="str">
            <v>S</v>
          </cell>
        </row>
        <row r="139">
          <cell r="A139">
            <v>313002</v>
          </cell>
          <cell r="B139" t="str">
            <v>Contratación del servicio de agua potable</v>
          </cell>
          <cell r="C139" t="str">
            <v>S</v>
          </cell>
        </row>
        <row r="140">
          <cell r="A140">
            <v>314000</v>
          </cell>
          <cell r="B140" t="str">
            <v>Telefonía tradicional</v>
          </cell>
          <cell r="C140" t="str">
            <v>N</v>
          </cell>
        </row>
        <row r="141">
          <cell r="A141">
            <v>314001</v>
          </cell>
          <cell r="B141" t="str">
            <v>Servicio telefónico</v>
          </cell>
          <cell r="C141" t="str">
            <v>S</v>
          </cell>
        </row>
        <row r="142">
          <cell r="A142">
            <v>315000</v>
          </cell>
          <cell r="B142" t="str">
            <v>Telefonía celular</v>
          </cell>
          <cell r="C142" t="str">
            <v>N</v>
          </cell>
        </row>
        <row r="143">
          <cell r="A143">
            <v>315001</v>
          </cell>
          <cell r="B143" t="str">
            <v>Telefonía celular</v>
          </cell>
          <cell r="C143" t="str">
            <v>S</v>
          </cell>
        </row>
        <row r="144">
          <cell r="A144">
            <v>316000</v>
          </cell>
          <cell r="B144" t="str">
            <v>Servicios de telecomunicaciones y satélites</v>
          </cell>
          <cell r="C144" t="str">
            <v>N</v>
          </cell>
        </row>
        <row r="145">
          <cell r="A145">
            <v>316001</v>
          </cell>
          <cell r="B145" t="str">
            <v>Servicios de telecomunicaciones y satélites</v>
          </cell>
          <cell r="C145" t="str">
            <v>S</v>
          </cell>
        </row>
        <row r="146">
          <cell r="A146">
            <v>317000</v>
          </cell>
          <cell r="B146" t="str">
            <v>Servicios de acceso de Internet, redes y procesamiento de información</v>
          </cell>
          <cell r="C146" t="str">
            <v>N</v>
          </cell>
        </row>
        <row r="147">
          <cell r="A147">
            <v>317001</v>
          </cell>
          <cell r="B147" t="str">
            <v>Servicios de acceso de Internet, redes y procesamiento de información</v>
          </cell>
          <cell r="C147" t="str">
            <v>S</v>
          </cell>
        </row>
        <row r="148">
          <cell r="A148">
            <v>318000</v>
          </cell>
          <cell r="B148" t="str">
            <v>Servicios postales y telegráficos</v>
          </cell>
          <cell r="C148" t="str">
            <v>N</v>
          </cell>
        </row>
        <row r="149">
          <cell r="A149">
            <v>318001</v>
          </cell>
          <cell r="B149" t="str">
            <v>Servicio postal y telegráfico</v>
          </cell>
          <cell r="C149" t="str">
            <v>S</v>
          </cell>
        </row>
        <row r="150">
          <cell r="A150">
            <v>319000</v>
          </cell>
          <cell r="B150" t="str">
            <v>Servicios integrales y otros servicios</v>
          </cell>
          <cell r="C150" t="str">
            <v>N</v>
          </cell>
        </row>
        <row r="151">
          <cell r="A151">
            <v>319001</v>
          </cell>
          <cell r="B151" t="str">
            <v>Servicios Integrales</v>
          </cell>
          <cell r="C151" t="str">
            <v>S</v>
          </cell>
        </row>
        <row r="152">
          <cell r="A152">
            <v>320000</v>
          </cell>
          <cell r="B152" t="str">
            <v>SERVICIOS DE ARRENDAMIENTO</v>
          </cell>
          <cell r="C152" t="str">
            <v>N</v>
          </cell>
        </row>
        <row r="153">
          <cell r="A153">
            <v>321000</v>
          </cell>
          <cell r="B153" t="str">
            <v>Arrendamiento de terrenos</v>
          </cell>
          <cell r="C153" t="str">
            <v>N</v>
          </cell>
        </row>
        <row r="154">
          <cell r="A154">
            <v>321001</v>
          </cell>
          <cell r="B154" t="str">
            <v>Arrendamiento de terrenos</v>
          </cell>
          <cell r="C154" t="str">
            <v>S</v>
          </cell>
        </row>
        <row r="155">
          <cell r="A155">
            <v>322000</v>
          </cell>
          <cell r="B155" t="str">
            <v>Arrendamiento de edificios</v>
          </cell>
          <cell r="C155" t="str">
            <v>N</v>
          </cell>
        </row>
        <row r="156">
          <cell r="A156">
            <v>322001</v>
          </cell>
          <cell r="B156" t="str">
            <v>Arrendamiento de edificios</v>
          </cell>
          <cell r="C156" t="str">
            <v>S</v>
          </cell>
        </row>
        <row r="157">
          <cell r="A157">
            <v>323000</v>
          </cell>
          <cell r="B157" t="str">
            <v>Arrendamiento de mobiliario y equipo de administración, educacional y recreativo</v>
          </cell>
          <cell r="C157" t="str">
            <v>N</v>
          </cell>
        </row>
        <row r="158">
          <cell r="A158">
            <v>323001</v>
          </cell>
          <cell r="B158" t="str">
            <v>Arrendamiento de maquinaria y equipo</v>
          </cell>
          <cell r="C158" t="str">
            <v>S</v>
          </cell>
        </row>
        <row r="159">
          <cell r="A159">
            <v>323002</v>
          </cell>
          <cell r="B159" t="str">
            <v>Arrendamiento de maquinaria y equipo de Administración</v>
          </cell>
          <cell r="C159" t="str">
            <v>S</v>
          </cell>
        </row>
        <row r="160">
          <cell r="A160">
            <v>323003</v>
          </cell>
          <cell r="B160" t="str">
            <v>Arrendamiento de Equipo Educacional y Recreativo</v>
          </cell>
          <cell r="C160" t="str">
            <v>S</v>
          </cell>
        </row>
        <row r="161">
          <cell r="A161">
            <v>323004</v>
          </cell>
          <cell r="B161" t="str">
            <v>Arrendamiento de Mobiliario y Equipo</v>
          </cell>
          <cell r="C161" t="str">
            <v>S</v>
          </cell>
        </row>
        <row r="162">
          <cell r="A162">
            <v>324000</v>
          </cell>
          <cell r="B162" t="str">
            <v>Arrendamiento de equipo e instrumental médico y de laboratorio</v>
          </cell>
          <cell r="C162" t="str">
            <v>N</v>
          </cell>
        </row>
        <row r="163">
          <cell r="A163">
            <v>324001</v>
          </cell>
          <cell r="B163" t="str">
            <v>Arrendamiento de equipo e instrumental médico y de laboratorio</v>
          </cell>
          <cell r="C163" t="str">
            <v>S</v>
          </cell>
        </row>
        <row r="164">
          <cell r="A164">
            <v>325000</v>
          </cell>
          <cell r="B164" t="str">
            <v>Arrendamiento de equipo de transporte</v>
          </cell>
          <cell r="C164" t="str">
            <v>N</v>
          </cell>
        </row>
        <row r="165">
          <cell r="A165">
            <v>325001</v>
          </cell>
          <cell r="B165" t="str">
            <v>Arrendamiento de equipo de transporte</v>
          </cell>
          <cell r="C165" t="str">
            <v>S</v>
          </cell>
        </row>
        <row r="166">
          <cell r="A166">
            <v>326000</v>
          </cell>
          <cell r="B166" t="str">
            <v>Arrendamiento de maquinaria, otros equipos y herramientas</v>
          </cell>
          <cell r="C166" t="str">
            <v>N</v>
          </cell>
        </row>
        <row r="167">
          <cell r="A167">
            <v>326001</v>
          </cell>
          <cell r="B167" t="str">
            <v>Arrendamiento de maquinaria, otros equipos y herramientas</v>
          </cell>
          <cell r="C167" t="str">
            <v>S</v>
          </cell>
        </row>
        <row r="168">
          <cell r="A168">
            <v>327000</v>
          </cell>
          <cell r="B168" t="str">
            <v>Arrendamiento de activos intangibles</v>
          </cell>
          <cell r="C168" t="str">
            <v>N</v>
          </cell>
        </row>
        <row r="169">
          <cell r="A169">
            <v>327001</v>
          </cell>
          <cell r="B169" t="str">
            <v>Arrendamiento de activos intangibles</v>
          </cell>
          <cell r="C169" t="str">
            <v>S</v>
          </cell>
        </row>
        <row r="170">
          <cell r="A170">
            <v>328000</v>
          </cell>
          <cell r="B170" t="str">
            <v>Arrendamiento financiero</v>
          </cell>
          <cell r="C170" t="str">
            <v>N</v>
          </cell>
        </row>
        <row r="171">
          <cell r="A171">
            <v>328001</v>
          </cell>
          <cell r="B171" t="str">
            <v>Arrendamiento financiero</v>
          </cell>
          <cell r="C171" t="str">
            <v>S</v>
          </cell>
        </row>
        <row r="172">
          <cell r="A172">
            <v>328002</v>
          </cell>
          <cell r="B172" t="str">
            <v>Programa Estatal de Arrendamiento Vehicular</v>
          </cell>
          <cell r="C172" t="str">
            <v>S</v>
          </cell>
        </row>
        <row r="173">
          <cell r="A173">
            <v>329000</v>
          </cell>
          <cell r="B173" t="str">
            <v>Otros arrendamientos</v>
          </cell>
          <cell r="C173" t="str">
            <v>N</v>
          </cell>
        </row>
        <row r="174">
          <cell r="A174">
            <v>329001</v>
          </cell>
          <cell r="B174" t="str">
            <v>Arrendamientos especiales</v>
          </cell>
          <cell r="C174" t="str">
            <v>S</v>
          </cell>
        </row>
        <row r="175">
          <cell r="A175">
            <v>330000</v>
          </cell>
          <cell r="B175" t="str">
            <v>SERVICIOS PROFESIONALES, CIENTÍFICOS, TÉCNICOS Y OTROS SERVICIOS</v>
          </cell>
          <cell r="C175" t="str">
            <v>N</v>
          </cell>
        </row>
        <row r="176">
          <cell r="A176">
            <v>331000</v>
          </cell>
          <cell r="B176" t="str">
            <v>Servicios legales, de contabilidad, auditoría y relacionados</v>
          </cell>
          <cell r="C176" t="str">
            <v>N</v>
          </cell>
        </row>
        <row r="177">
          <cell r="A177">
            <v>331001</v>
          </cell>
          <cell r="B177" t="str">
            <v>Asesorías</v>
          </cell>
          <cell r="C177" t="str">
            <v>S</v>
          </cell>
        </row>
        <row r="178">
          <cell r="A178">
            <v>331002</v>
          </cell>
          <cell r="B178" t="str">
            <v>Servicios Notariales</v>
          </cell>
          <cell r="C178" t="str">
            <v>S</v>
          </cell>
        </row>
        <row r="179">
          <cell r="A179">
            <v>331003</v>
          </cell>
          <cell r="B179" t="str">
            <v>Consultoría y Gestión</v>
          </cell>
          <cell r="C179" t="str">
            <v>S</v>
          </cell>
        </row>
        <row r="180">
          <cell r="A180">
            <v>332000</v>
          </cell>
          <cell r="B180" t="str">
            <v>Servicios de diseño, arquitectura, ingeniería y actividades relacionadas</v>
          </cell>
          <cell r="C180" t="str">
            <v>N</v>
          </cell>
        </row>
        <row r="181">
          <cell r="A181">
            <v>332001</v>
          </cell>
          <cell r="B181" t="str">
            <v>Servicios de diseño, arquitectura, ingeniería y actividades relacionadas</v>
          </cell>
          <cell r="C181" t="str">
            <v>S</v>
          </cell>
        </row>
        <row r="182">
          <cell r="A182">
            <v>333000</v>
          </cell>
          <cell r="B182" t="str">
            <v>Servicios de consultoría administrativa, procesos, técnica y en tecnologías de la información</v>
          </cell>
          <cell r="C182" t="str">
            <v>N</v>
          </cell>
        </row>
        <row r="183">
          <cell r="A183">
            <v>333001</v>
          </cell>
          <cell r="B183" t="str">
            <v>Estudios e investigaciones</v>
          </cell>
          <cell r="C183" t="str">
            <v>S</v>
          </cell>
        </row>
        <row r="184">
          <cell r="A184">
            <v>333002</v>
          </cell>
          <cell r="B184" t="str">
            <v>Sistematización de la Armonización Contable y Presupuestal</v>
          </cell>
          <cell r="C184" t="str">
            <v>S</v>
          </cell>
        </row>
        <row r="185">
          <cell r="A185">
            <v>333003</v>
          </cell>
          <cell r="B185" t="str">
            <v>Servicios de consultoría administrativa, procesos, técnica y en tecnologías de la información</v>
          </cell>
          <cell r="C185" t="str">
            <v>S</v>
          </cell>
        </row>
        <row r="186">
          <cell r="A186">
            <v>334000</v>
          </cell>
          <cell r="B186" t="str">
            <v>Servicios de capacitación</v>
          </cell>
          <cell r="C186" t="str">
            <v>N</v>
          </cell>
        </row>
        <row r="187">
          <cell r="A187">
            <v>334001</v>
          </cell>
          <cell r="B187" t="str">
            <v>Cuotas e inscripciones</v>
          </cell>
          <cell r="C187" t="str">
            <v>S</v>
          </cell>
        </row>
        <row r="188">
          <cell r="A188">
            <v>334002</v>
          </cell>
          <cell r="B188" t="str">
            <v>Servicios de Capacitación</v>
          </cell>
          <cell r="C188" t="str">
            <v>S</v>
          </cell>
        </row>
        <row r="189">
          <cell r="A189">
            <v>335000</v>
          </cell>
          <cell r="B189" t="str">
            <v>Servicios de investigación científica y desarrollo</v>
          </cell>
          <cell r="C189" t="str">
            <v>N</v>
          </cell>
        </row>
        <row r="190">
          <cell r="A190">
            <v>335001</v>
          </cell>
          <cell r="B190" t="str">
            <v>Servicios de investigación científica y desarrollo</v>
          </cell>
          <cell r="C190" t="str">
            <v>S</v>
          </cell>
        </row>
        <row r="191">
          <cell r="A191">
            <v>336000</v>
          </cell>
          <cell r="B191" t="str">
            <v>Servicios de apoyo administrativo, traducción, fotocopiado e impresión</v>
          </cell>
          <cell r="C191" t="str">
            <v>N</v>
          </cell>
        </row>
        <row r="192">
          <cell r="A192">
            <v>336001</v>
          </cell>
          <cell r="B192" t="str">
            <v>Servicio de Fotocopiado, Enmicado y Encuadernación de Documentos.</v>
          </cell>
          <cell r="C192" t="str">
            <v>S</v>
          </cell>
        </row>
        <row r="193">
          <cell r="A193">
            <v>336002</v>
          </cell>
          <cell r="B193" t="str">
            <v>Servicio de Impresión y Elaboración de Material Informativo</v>
          </cell>
          <cell r="C193" t="str">
            <v>S</v>
          </cell>
        </row>
        <row r="194">
          <cell r="A194">
            <v>337000</v>
          </cell>
          <cell r="B194" t="str">
            <v>Servicios de protección y seguridad</v>
          </cell>
          <cell r="C194" t="str">
            <v>N</v>
          </cell>
        </row>
        <row r="195">
          <cell r="A195">
            <v>337001</v>
          </cell>
          <cell r="B195" t="str">
            <v>Dispositivo de seguridad pública</v>
          </cell>
          <cell r="C195" t="str">
            <v>S</v>
          </cell>
        </row>
        <row r="196">
          <cell r="A196">
            <v>338000</v>
          </cell>
          <cell r="B196" t="str">
            <v>Servicios de vigilancia</v>
          </cell>
          <cell r="C196" t="str">
            <v>N</v>
          </cell>
        </row>
        <row r="197">
          <cell r="A197">
            <v>338001</v>
          </cell>
          <cell r="B197" t="str">
            <v>Servicio de seguridad privada</v>
          </cell>
          <cell r="C197" t="str">
            <v>S</v>
          </cell>
        </row>
        <row r="198">
          <cell r="A198">
            <v>339000</v>
          </cell>
          <cell r="B198" t="str">
            <v>Servicios profesionales, científicos y técnicos integrales</v>
          </cell>
          <cell r="C198" t="str">
            <v>N</v>
          </cell>
        </row>
        <row r="199">
          <cell r="A199">
            <v>339001</v>
          </cell>
          <cell r="B199" t="str">
            <v>Servicios profesionales, científicos y técnicos integrales</v>
          </cell>
          <cell r="C199" t="str">
            <v>S</v>
          </cell>
        </row>
        <row r="200">
          <cell r="A200">
            <v>340000</v>
          </cell>
          <cell r="B200" t="str">
            <v>SERVICIOS FINANCIEROS, BANCARIOS Y COMERCIALES</v>
          </cell>
          <cell r="C200" t="str">
            <v>N</v>
          </cell>
        </row>
        <row r="201">
          <cell r="A201">
            <v>341000</v>
          </cell>
          <cell r="B201" t="str">
            <v>Servicios financieros y bancarios</v>
          </cell>
          <cell r="C201" t="str">
            <v>N</v>
          </cell>
        </row>
        <row r="202">
          <cell r="A202">
            <v>341001</v>
          </cell>
          <cell r="B202" t="str">
            <v>Comisiones, descuentos y otros servicios bancarios</v>
          </cell>
          <cell r="C202" t="str">
            <v>S</v>
          </cell>
        </row>
        <row r="203">
          <cell r="A203">
            <v>342000</v>
          </cell>
          <cell r="B203" t="str">
            <v>Servicios de cobranza, investigación crediticia y similar</v>
          </cell>
          <cell r="C203" t="str">
            <v>N</v>
          </cell>
        </row>
        <row r="204">
          <cell r="A204">
            <v>342001</v>
          </cell>
          <cell r="B204" t="str">
            <v>Servicios de cobranza, investigación crediticia y similar</v>
          </cell>
          <cell r="C204" t="str">
            <v>S</v>
          </cell>
        </row>
        <row r="205">
          <cell r="A205">
            <v>343000</v>
          </cell>
          <cell r="B205" t="str">
            <v>Servicios de recaudación, traslado y custodia de valores</v>
          </cell>
          <cell r="C205" t="str">
            <v>N</v>
          </cell>
        </row>
        <row r="206">
          <cell r="A206">
            <v>343001</v>
          </cell>
          <cell r="B206" t="str">
            <v>Servicios de recaudación, traslado y custodia de valores</v>
          </cell>
          <cell r="C206" t="str">
            <v>S</v>
          </cell>
        </row>
        <row r="207">
          <cell r="A207">
            <v>344000</v>
          </cell>
          <cell r="B207" t="str">
            <v>Seguros de responsabilidad patrimonial y fianzas</v>
          </cell>
          <cell r="C207" t="str">
            <v>N</v>
          </cell>
        </row>
        <row r="208">
          <cell r="A208">
            <v>344001</v>
          </cell>
          <cell r="B208" t="str">
            <v>Seguros de responsabilidad patrimonial y fianzas</v>
          </cell>
          <cell r="C208" t="str">
            <v>S</v>
          </cell>
        </row>
        <row r="209">
          <cell r="A209">
            <v>345000</v>
          </cell>
          <cell r="B209" t="str">
            <v>Seguro de bienes patrimoniales</v>
          </cell>
          <cell r="C209" t="str">
            <v>N</v>
          </cell>
        </row>
        <row r="210">
          <cell r="A210">
            <v>345001</v>
          </cell>
          <cell r="B210" t="str">
            <v>Seguros</v>
          </cell>
          <cell r="C210" t="str">
            <v>S</v>
          </cell>
        </row>
        <row r="211">
          <cell r="A211">
            <v>346000</v>
          </cell>
          <cell r="B211" t="str">
            <v>Almacenaje, envase y embalaje</v>
          </cell>
          <cell r="C211" t="str">
            <v>N</v>
          </cell>
        </row>
        <row r="212">
          <cell r="A212">
            <v>346001</v>
          </cell>
          <cell r="B212" t="str">
            <v>Almacenaje, envase y embalaje</v>
          </cell>
          <cell r="C212" t="str">
            <v>S</v>
          </cell>
        </row>
        <row r="213">
          <cell r="A213">
            <v>347000</v>
          </cell>
          <cell r="B213" t="str">
            <v>Fletes y maniobras</v>
          </cell>
          <cell r="C213" t="str">
            <v>N</v>
          </cell>
        </row>
        <row r="214">
          <cell r="A214">
            <v>347001</v>
          </cell>
          <cell r="B214" t="str">
            <v>Fletes, maniobras y almacenaje</v>
          </cell>
          <cell r="C214" t="str">
            <v>S</v>
          </cell>
        </row>
        <row r="215">
          <cell r="A215">
            <v>348000</v>
          </cell>
          <cell r="B215" t="str">
            <v>Comisiones por ventas</v>
          </cell>
          <cell r="C215" t="str">
            <v>N</v>
          </cell>
        </row>
        <row r="216">
          <cell r="A216">
            <v>348001</v>
          </cell>
          <cell r="B216" t="str">
            <v>Comisiones por ventas</v>
          </cell>
          <cell r="C216" t="str">
            <v>S</v>
          </cell>
        </row>
        <row r="217">
          <cell r="A217">
            <v>349000</v>
          </cell>
          <cell r="B217" t="str">
            <v>Servicios financieros, bancarios y comerciales integrales</v>
          </cell>
          <cell r="C217" t="str">
            <v>N</v>
          </cell>
        </row>
        <row r="218">
          <cell r="A218">
            <v>349001</v>
          </cell>
          <cell r="B218" t="str">
            <v>Servicios financieros, bancarios y comerciales integrales</v>
          </cell>
          <cell r="C218" t="str">
            <v>S</v>
          </cell>
        </row>
        <row r="219">
          <cell r="A219">
            <v>350000</v>
          </cell>
          <cell r="B219" t="str">
            <v>SERVICIOS DE INSTALACIÓN, REPARACIÓN, MANTENIMIENTO Y CONSERVACIÓN</v>
          </cell>
          <cell r="C219" t="str">
            <v>N</v>
          </cell>
        </row>
        <row r="220">
          <cell r="A220">
            <v>351000</v>
          </cell>
          <cell r="B220" t="str">
            <v>Conservación y mantenimiento menor de inmuebles</v>
          </cell>
          <cell r="C220" t="str">
            <v>N</v>
          </cell>
        </row>
        <row r="221">
          <cell r="A221">
            <v>351001</v>
          </cell>
          <cell r="B221" t="str">
            <v>Mantenimiento de inmuebles</v>
          </cell>
          <cell r="C221" t="str">
            <v>S</v>
          </cell>
        </row>
        <row r="222">
          <cell r="A222">
            <v>351002</v>
          </cell>
          <cell r="B222" t="str">
            <v>Fumigación de Inmuebles</v>
          </cell>
          <cell r="C222" t="str">
            <v>S</v>
          </cell>
        </row>
        <row r="223">
          <cell r="A223">
            <v>351003</v>
          </cell>
          <cell r="B223" t="str">
            <v>Mantto. y Conserv. de Inmuebles Sub Proc. Zona Norte</v>
          </cell>
          <cell r="C223" t="str">
            <v>S</v>
          </cell>
        </row>
        <row r="224">
          <cell r="A224">
            <v>352000</v>
          </cell>
          <cell r="B224" t="str">
            <v>Instalación, reparación y mantenimiento de mobiliario y equipo de administración, educacional y recreativo</v>
          </cell>
          <cell r="C224" t="str">
            <v>N</v>
          </cell>
        </row>
        <row r="225">
          <cell r="A225">
            <v>352001</v>
          </cell>
          <cell r="B225" t="str">
            <v>Mantenimiento de mobiliario y equipo</v>
          </cell>
          <cell r="C225" t="str">
            <v>S</v>
          </cell>
        </row>
        <row r="226">
          <cell r="A226">
            <v>352002</v>
          </cell>
          <cell r="B226" t="str">
            <v>Gastos de instalación</v>
          </cell>
          <cell r="C226" t="str">
            <v>S</v>
          </cell>
        </row>
        <row r="227">
          <cell r="A227">
            <v>352003</v>
          </cell>
          <cell r="B227" t="str">
            <v>Mantto. y Conservación Archivo General de Notarias del Gob. del Edo.</v>
          </cell>
          <cell r="C227" t="str">
            <v>S</v>
          </cell>
        </row>
        <row r="228">
          <cell r="A228">
            <v>353000</v>
          </cell>
          <cell r="B228" t="str">
            <v>Instalación, reparación y mantenimiento de equipo de cómputo y tecnología de la información</v>
          </cell>
          <cell r="C228" t="str">
            <v>N</v>
          </cell>
        </row>
        <row r="229">
          <cell r="A229">
            <v>353001</v>
          </cell>
          <cell r="B229" t="str">
            <v>Instalación, reparación y mantenimiento de equipo de cómputo y tecnología  de la información</v>
          </cell>
          <cell r="C229" t="str">
            <v>S</v>
          </cell>
        </row>
        <row r="230">
          <cell r="A230">
            <v>354000</v>
          </cell>
          <cell r="B230" t="str">
            <v>Instalación, reparación y mantenimiento de equipo e instrumental médico y de laboratorio</v>
          </cell>
          <cell r="C230" t="str">
            <v>N</v>
          </cell>
        </row>
        <row r="231">
          <cell r="A231">
            <v>354001</v>
          </cell>
          <cell r="B231" t="str">
            <v>Instalación, reparación y mantenimiento de equipo e instrumental médico y de laboratorio</v>
          </cell>
          <cell r="C231" t="str">
            <v>S</v>
          </cell>
        </row>
        <row r="232">
          <cell r="A232">
            <v>355000</v>
          </cell>
          <cell r="B232" t="str">
            <v>Reparación y mantenimiento de equipo de transporte</v>
          </cell>
          <cell r="C232" t="str">
            <v>N</v>
          </cell>
        </row>
        <row r="233">
          <cell r="A233">
            <v>355001</v>
          </cell>
          <cell r="B233" t="str">
            <v>Mantto. y conservación de vehículos terrestres, aéreos, marítimos, lacustres y fluviales</v>
          </cell>
          <cell r="C233" t="str">
            <v>S</v>
          </cell>
        </row>
        <row r="234">
          <cell r="A234">
            <v>356000</v>
          </cell>
          <cell r="B234" t="str">
            <v>Reparación y mantenimiento de equipo de defensa y seguridad</v>
          </cell>
          <cell r="C234" t="str">
            <v>N</v>
          </cell>
        </row>
        <row r="235">
          <cell r="A235">
            <v>356001</v>
          </cell>
          <cell r="B235" t="str">
            <v>Reparación y mantenimiento de equipo de defensa y seguridad</v>
          </cell>
          <cell r="C235" t="str">
            <v>S</v>
          </cell>
        </row>
        <row r="236">
          <cell r="A236">
            <v>357000</v>
          </cell>
          <cell r="B236" t="str">
            <v>Instalación, reparación y mantenimiento de maquinaria, otros equipos y herramienta</v>
          </cell>
          <cell r="C236" t="str">
            <v>N</v>
          </cell>
        </row>
        <row r="237">
          <cell r="A237">
            <v>357001</v>
          </cell>
          <cell r="B237" t="str">
            <v>Instalación, reparación y mantenimiento de Equipo de Telecomunicaciones</v>
          </cell>
          <cell r="C237" t="str">
            <v>S</v>
          </cell>
        </row>
        <row r="238">
          <cell r="A238">
            <v>357002</v>
          </cell>
          <cell r="B238" t="str">
            <v>Instalación, reparación y mantenimiento de maquinaria, otros equipos y herramienta</v>
          </cell>
          <cell r="C238" t="str">
            <v>S</v>
          </cell>
        </row>
        <row r="239">
          <cell r="A239">
            <v>358000</v>
          </cell>
          <cell r="B239" t="str">
            <v>Servicios de limpieza y manejo de desechos</v>
          </cell>
          <cell r="C239" t="str">
            <v>N</v>
          </cell>
        </row>
        <row r="240">
          <cell r="A240">
            <v>358001</v>
          </cell>
          <cell r="B240" t="str">
            <v>Servicios de higiene y limpieza</v>
          </cell>
          <cell r="C240" t="str">
            <v>S</v>
          </cell>
        </row>
        <row r="241">
          <cell r="A241">
            <v>358002</v>
          </cell>
          <cell r="B241" t="str">
            <v>Servicios de Limpieza y Lavado de Vehículos</v>
          </cell>
          <cell r="C241" t="str">
            <v>S</v>
          </cell>
        </row>
        <row r="242">
          <cell r="A242">
            <v>358003</v>
          </cell>
          <cell r="B242" t="str">
            <v>Servicios de Lavandería</v>
          </cell>
          <cell r="C242" t="str">
            <v>S</v>
          </cell>
        </row>
        <row r="243">
          <cell r="A243">
            <v>359000</v>
          </cell>
          <cell r="B243" t="str">
            <v>Servicios de jardinería y fumigación</v>
          </cell>
          <cell r="C243" t="str">
            <v>N</v>
          </cell>
        </row>
        <row r="244">
          <cell r="A244">
            <v>359001</v>
          </cell>
          <cell r="B244" t="str">
            <v>Árboles, plantas, semillas y abonos</v>
          </cell>
          <cell r="C244" t="str">
            <v>S</v>
          </cell>
        </row>
        <row r="245">
          <cell r="A245">
            <v>359002</v>
          </cell>
          <cell r="B245" t="str">
            <v>Fumigación de áreas verdes</v>
          </cell>
          <cell r="C245" t="str">
            <v>S</v>
          </cell>
        </row>
        <row r="246">
          <cell r="A246">
            <v>360000</v>
          </cell>
          <cell r="B246" t="str">
            <v>SERVICIOS DE COMUNICACIÓN SOCIAL Y PUBLICIDAD</v>
          </cell>
          <cell r="C246" t="str">
            <v>N</v>
          </cell>
        </row>
        <row r="247">
          <cell r="A247">
            <v>361000</v>
          </cell>
          <cell r="B247" t="str">
            <v>Difusión por radio, televisión y otros medios de mensajes sobre programas y actividades gubernamentales</v>
          </cell>
          <cell r="C247" t="str">
            <v>N</v>
          </cell>
        </row>
        <row r="248">
          <cell r="A248">
            <v>361001</v>
          </cell>
          <cell r="B248" t="str">
            <v>Gastos de difusión</v>
          </cell>
          <cell r="C248" t="str">
            <v>S</v>
          </cell>
        </row>
        <row r="249">
          <cell r="A249">
            <v>361002</v>
          </cell>
          <cell r="B249" t="str">
            <v>Impresiones y publicaciones oficiales</v>
          </cell>
          <cell r="C249" t="str">
            <v>S</v>
          </cell>
        </row>
        <row r="250">
          <cell r="A250">
            <v>361003</v>
          </cell>
          <cell r="B250" t="str">
            <v>Rotulaciones oficiales</v>
          </cell>
          <cell r="C250" t="str">
            <v>S</v>
          </cell>
        </row>
        <row r="251">
          <cell r="A251">
            <v>361004</v>
          </cell>
          <cell r="B251" t="str">
            <v>Publicación de convocatorias</v>
          </cell>
          <cell r="C251" t="str">
            <v>S</v>
          </cell>
        </row>
        <row r="252">
          <cell r="A252">
            <v>362000</v>
          </cell>
          <cell r="B252" t="str">
            <v>Difusión por radio, televisión y otros medios de mensajes comerciales para promover la venta de bienes o servicios</v>
          </cell>
          <cell r="C252" t="str">
            <v>N</v>
          </cell>
        </row>
        <row r="253">
          <cell r="A253">
            <v>362001</v>
          </cell>
          <cell r="B253" t="str">
            <v>Difusión por radio, televisión y otros medios de mensajes comerciales para promover la venta de bienes o servicios</v>
          </cell>
          <cell r="C253" t="str">
            <v>S</v>
          </cell>
        </row>
        <row r="254">
          <cell r="A254">
            <v>362002</v>
          </cell>
          <cell r="B254" t="str">
            <v>Difusión por radio, televisión y otros medios de mensajes comerciales para promover la venta de bienes o servicios, fuera del país</v>
          </cell>
          <cell r="C254" t="str">
            <v>S</v>
          </cell>
        </row>
        <row r="255">
          <cell r="A255">
            <v>363000</v>
          </cell>
          <cell r="B255" t="str">
            <v>Servicios de creatividad, preproducción y producción de publicidad, excepto Internet</v>
          </cell>
          <cell r="C255" t="str">
            <v>N</v>
          </cell>
        </row>
        <row r="256">
          <cell r="A256">
            <v>363001</v>
          </cell>
          <cell r="B256" t="str">
            <v>Servicios de Producción y Diseño Publicitario</v>
          </cell>
          <cell r="C256" t="str">
            <v>S</v>
          </cell>
        </row>
        <row r="257">
          <cell r="A257">
            <v>364000</v>
          </cell>
          <cell r="B257" t="str">
            <v>Servicios de revelado de fotografías</v>
          </cell>
          <cell r="C257" t="str">
            <v>N</v>
          </cell>
        </row>
        <row r="258">
          <cell r="A258">
            <v>364001</v>
          </cell>
          <cell r="B258" t="str">
            <v>Revelado de Fotografías</v>
          </cell>
          <cell r="C258" t="str">
            <v>S</v>
          </cell>
        </row>
        <row r="259">
          <cell r="A259">
            <v>365000</v>
          </cell>
          <cell r="B259" t="str">
            <v>Servicios de la industria fílmica, del sonido y del video</v>
          </cell>
          <cell r="C259" t="str">
            <v>N</v>
          </cell>
        </row>
        <row r="260">
          <cell r="A260">
            <v>365001</v>
          </cell>
          <cell r="B260" t="str">
            <v>Servicios de la industria fílmica, del sonido y del video</v>
          </cell>
          <cell r="C260" t="str">
            <v>S</v>
          </cell>
        </row>
        <row r="261">
          <cell r="A261">
            <v>366000</v>
          </cell>
          <cell r="B261" t="str">
            <v>Servicio de creación y difusión de contenido exclusivamente a través de Internet</v>
          </cell>
          <cell r="C261" t="str">
            <v>N</v>
          </cell>
        </row>
        <row r="262">
          <cell r="A262">
            <v>366001</v>
          </cell>
          <cell r="B262" t="str">
            <v>Gastos de difusión a través de internet</v>
          </cell>
          <cell r="C262" t="str">
            <v>S</v>
          </cell>
        </row>
        <row r="263">
          <cell r="A263">
            <v>369000</v>
          </cell>
          <cell r="B263" t="str">
            <v>Otros servicios de información</v>
          </cell>
          <cell r="C263" t="str">
            <v>N</v>
          </cell>
        </row>
        <row r="264">
          <cell r="A264">
            <v>369001</v>
          </cell>
          <cell r="B264" t="str">
            <v>Monitoreo de Información y Encuestas</v>
          </cell>
          <cell r="C264" t="str">
            <v>S</v>
          </cell>
        </row>
        <row r="265">
          <cell r="A265">
            <v>370000</v>
          </cell>
          <cell r="B265" t="str">
            <v>SERVICIOS DE TRASLADO Y VIÁTICOS</v>
          </cell>
          <cell r="C265" t="str">
            <v>N</v>
          </cell>
        </row>
        <row r="266">
          <cell r="A266">
            <v>371000</v>
          </cell>
          <cell r="B266" t="str">
            <v>Pasajes aéreos</v>
          </cell>
          <cell r="C266" t="str">
            <v>N</v>
          </cell>
        </row>
        <row r="267">
          <cell r="A267">
            <v>371001</v>
          </cell>
          <cell r="B267" t="str">
            <v>Pasajes aéreos</v>
          </cell>
          <cell r="C267" t="str">
            <v>S</v>
          </cell>
        </row>
        <row r="268">
          <cell r="A268">
            <v>372000</v>
          </cell>
          <cell r="B268" t="str">
            <v>Pasajes terrestres</v>
          </cell>
          <cell r="C268" t="str">
            <v>N</v>
          </cell>
        </row>
        <row r="269">
          <cell r="A269">
            <v>372001</v>
          </cell>
          <cell r="B269" t="str">
            <v>Pasajes terrestres</v>
          </cell>
          <cell r="C269" t="str">
            <v>S</v>
          </cell>
        </row>
        <row r="270">
          <cell r="A270">
            <v>373000</v>
          </cell>
          <cell r="B270" t="str">
            <v>Pasajes marítimos, lacustres y fluviales</v>
          </cell>
          <cell r="C270" t="str">
            <v>N</v>
          </cell>
        </row>
        <row r="271">
          <cell r="A271">
            <v>373001</v>
          </cell>
          <cell r="B271" t="str">
            <v>Pasajes marítimos</v>
          </cell>
          <cell r="C271" t="str">
            <v>S</v>
          </cell>
        </row>
        <row r="272">
          <cell r="A272">
            <v>374000</v>
          </cell>
          <cell r="B272" t="str">
            <v>Autotransporte</v>
          </cell>
          <cell r="C272" t="str">
            <v>N</v>
          </cell>
        </row>
        <row r="273">
          <cell r="A273">
            <v>374001</v>
          </cell>
          <cell r="B273" t="str">
            <v>Autotransporte</v>
          </cell>
          <cell r="C273" t="str">
            <v>S</v>
          </cell>
        </row>
        <row r="274">
          <cell r="A274">
            <v>375000</v>
          </cell>
          <cell r="B274" t="str">
            <v>Viáticos en el país</v>
          </cell>
          <cell r="C274" t="str">
            <v>N</v>
          </cell>
        </row>
        <row r="275">
          <cell r="A275">
            <v>375001</v>
          </cell>
          <cell r="B275" t="str">
            <v>Viáticos</v>
          </cell>
          <cell r="C275" t="str">
            <v>S</v>
          </cell>
        </row>
        <row r="276">
          <cell r="A276">
            <v>376000</v>
          </cell>
          <cell r="B276" t="str">
            <v>Viáticos en el extranjero</v>
          </cell>
          <cell r="C276" t="str">
            <v>N</v>
          </cell>
        </row>
        <row r="277">
          <cell r="A277">
            <v>376001</v>
          </cell>
          <cell r="B277" t="str">
            <v>Viáticos en el extranjero</v>
          </cell>
          <cell r="C277" t="str">
            <v>S</v>
          </cell>
        </row>
        <row r="278">
          <cell r="A278">
            <v>377000</v>
          </cell>
          <cell r="B278" t="str">
            <v>Gastos de instalación y traslado de menaje</v>
          </cell>
          <cell r="C278" t="str">
            <v>N</v>
          </cell>
        </row>
        <row r="279">
          <cell r="A279">
            <v>377001</v>
          </cell>
          <cell r="B279" t="str">
            <v>Gastos de instalación y traslado de menaje</v>
          </cell>
          <cell r="C279" t="str">
            <v>S</v>
          </cell>
        </row>
        <row r="280">
          <cell r="A280">
            <v>378000</v>
          </cell>
          <cell r="B280" t="str">
            <v>Servicios integrales de traslado y viáticos</v>
          </cell>
          <cell r="C280" t="str">
            <v>N</v>
          </cell>
        </row>
        <row r="281">
          <cell r="A281">
            <v>378001</v>
          </cell>
          <cell r="B281" t="str">
            <v>Diligencias judiciales</v>
          </cell>
          <cell r="C281" t="str">
            <v>S</v>
          </cell>
        </row>
        <row r="282">
          <cell r="A282">
            <v>379000</v>
          </cell>
          <cell r="B282" t="str">
            <v>Otros servicios de traslado y hospedaje</v>
          </cell>
          <cell r="C282" t="str">
            <v>N</v>
          </cell>
        </row>
        <row r="283">
          <cell r="A283">
            <v>379001</v>
          </cell>
          <cell r="B283" t="str">
            <v>Traslado de vehículos</v>
          </cell>
          <cell r="C283" t="str">
            <v>S</v>
          </cell>
        </row>
        <row r="284">
          <cell r="A284">
            <v>379002</v>
          </cell>
          <cell r="B284" t="str">
            <v>Gastos de traslado de personas</v>
          </cell>
          <cell r="C284" t="str">
            <v>S</v>
          </cell>
        </row>
        <row r="285">
          <cell r="A285">
            <v>379003</v>
          </cell>
          <cell r="B285" t="str">
            <v>Hospedaje de personas</v>
          </cell>
          <cell r="C285" t="str">
            <v>S</v>
          </cell>
        </row>
        <row r="286">
          <cell r="A286">
            <v>380000</v>
          </cell>
          <cell r="B286" t="str">
            <v>SERVICIOS OFICIALES</v>
          </cell>
          <cell r="C286" t="str">
            <v>N</v>
          </cell>
        </row>
        <row r="287">
          <cell r="A287">
            <v>381000</v>
          </cell>
          <cell r="B287" t="str">
            <v>Gastos de ceremonial</v>
          </cell>
          <cell r="C287" t="str">
            <v>N</v>
          </cell>
        </row>
        <row r="288">
          <cell r="A288">
            <v>381001</v>
          </cell>
          <cell r="B288" t="str">
            <v>Atención a personalidades nacionales y extranjeras</v>
          </cell>
          <cell r="C288" t="str">
            <v>S</v>
          </cell>
        </row>
        <row r="289">
          <cell r="A289">
            <v>382000</v>
          </cell>
          <cell r="B289" t="str">
            <v>Gastos de orden social y cultural</v>
          </cell>
          <cell r="C289" t="str">
            <v>N</v>
          </cell>
        </row>
        <row r="290">
          <cell r="A290">
            <v>382001</v>
          </cell>
          <cell r="B290" t="str">
            <v>Espectáculos y actividades culturales</v>
          </cell>
          <cell r="C290" t="str">
            <v>S</v>
          </cell>
        </row>
        <row r="291">
          <cell r="A291">
            <v>382002</v>
          </cell>
          <cell r="B291" t="str">
            <v>Gastos de recepción, conmemorativos y de orden social</v>
          </cell>
          <cell r="C291" t="str">
            <v>S</v>
          </cell>
        </row>
        <row r="292">
          <cell r="A292">
            <v>382003</v>
          </cell>
          <cell r="B292" t="str">
            <v>Adaptaciones para eventos sociales y culturales</v>
          </cell>
          <cell r="C292" t="str">
            <v>S</v>
          </cell>
        </row>
        <row r="293">
          <cell r="A293">
            <v>382004</v>
          </cell>
          <cell r="B293" t="str">
            <v>Festividades y Eventos</v>
          </cell>
          <cell r="C293" t="str">
            <v>S</v>
          </cell>
        </row>
        <row r="294">
          <cell r="A294">
            <v>383000</v>
          </cell>
          <cell r="B294" t="str">
            <v>Congresos y convenciones</v>
          </cell>
          <cell r="C294" t="str">
            <v>N</v>
          </cell>
        </row>
        <row r="295">
          <cell r="A295">
            <v>383001</v>
          </cell>
          <cell r="B295" t="str">
            <v>Congresos y convenciones</v>
          </cell>
          <cell r="C295" t="str">
            <v>S</v>
          </cell>
        </row>
        <row r="296">
          <cell r="A296">
            <v>384000</v>
          </cell>
          <cell r="B296" t="str">
            <v>Exposiciones</v>
          </cell>
          <cell r="C296" t="str">
            <v>N</v>
          </cell>
        </row>
        <row r="297">
          <cell r="A297">
            <v>384001</v>
          </cell>
          <cell r="B297" t="str">
            <v>Exposiciones</v>
          </cell>
          <cell r="C297" t="str">
            <v>S</v>
          </cell>
        </row>
        <row r="298">
          <cell r="A298">
            <v>385000</v>
          </cell>
          <cell r="B298" t="str">
            <v>Gastos de representación</v>
          </cell>
          <cell r="C298" t="str">
            <v>N</v>
          </cell>
        </row>
        <row r="299">
          <cell r="A299">
            <v>385001</v>
          </cell>
          <cell r="B299" t="str">
            <v>Gastos de representación</v>
          </cell>
          <cell r="C299" t="str">
            <v>S</v>
          </cell>
        </row>
        <row r="300">
          <cell r="A300">
            <v>390000</v>
          </cell>
          <cell r="B300" t="str">
            <v>OTROS SERVICIOS GENERALES</v>
          </cell>
          <cell r="C300" t="str">
            <v>N</v>
          </cell>
        </row>
        <row r="301">
          <cell r="A301">
            <v>391000</v>
          </cell>
          <cell r="B301" t="str">
            <v>Servicios funerarios y de cementerios</v>
          </cell>
          <cell r="C301" t="str">
            <v>N</v>
          </cell>
        </row>
        <row r="302">
          <cell r="A302">
            <v>391001</v>
          </cell>
          <cell r="B302" t="str">
            <v>Servicios funerarios y de cementerios</v>
          </cell>
          <cell r="C302" t="str">
            <v>S</v>
          </cell>
        </row>
        <row r="303">
          <cell r="A303">
            <v>392000</v>
          </cell>
          <cell r="B303" t="str">
            <v>Impuestos y derechos</v>
          </cell>
          <cell r="C303" t="str">
            <v>N</v>
          </cell>
        </row>
        <row r="304">
          <cell r="A304">
            <v>392001</v>
          </cell>
          <cell r="B304" t="str">
            <v>Impuestos y derechos</v>
          </cell>
          <cell r="C304" t="str">
            <v>S</v>
          </cell>
        </row>
        <row r="305">
          <cell r="A305">
            <v>393000</v>
          </cell>
          <cell r="B305" t="str">
            <v>Impuestos y derechos de importación</v>
          </cell>
          <cell r="C305" t="str">
            <v>N</v>
          </cell>
        </row>
        <row r="306">
          <cell r="A306">
            <v>393001</v>
          </cell>
          <cell r="B306" t="str">
            <v>Impuestos y derechos de importación</v>
          </cell>
          <cell r="C306" t="str">
            <v>S</v>
          </cell>
        </row>
        <row r="307">
          <cell r="A307">
            <v>394000</v>
          </cell>
          <cell r="B307" t="str">
            <v>Sentencias y resoluciones judiciales</v>
          </cell>
          <cell r="C307" t="str">
            <v>N</v>
          </cell>
        </row>
        <row r="308">
          <cell r="A308">
            <v>394001</v>
          </cell>
          <cell r="B308" t="str">
            <v>Sentencias y resoluciones judiciales</v>
          </cell>
          <cell r="C308" t="str">
            <v>S</v>
          </cell>
        </row>
        <row r="309">
          <cell r="A309">
            <v>395000</v>
          </cell>
          <cell r="B309" t="str">
            <v>Penas, multas, accesorios y actualizaciones</v>
          </cell>
          <cell r="C309" t="str">
            <v>N</v>
          </cell>
        </row>
        <row r="310">
          <cell r="A310">
            <v>395001</v>
          </cell>
          <cell r="B310" t="str">
            <v>Penas, multas, accesorios y actualizaciones</v>
          </cell>
          <cell r="C310" t="str">
            <v>S</v>
          </cell>
        </row>
        <row r="311">
          <cell r="A311">
            <v>396000</v>
          </cell>
          <cell r="B311" t="str">
            <v>Otros gastos por responsabilidades</v>
          </cell>
          <cell r="C311" t="str">
            <v>N</v>
          </cell>
        </row>
        <row r="312">
          <cell r="A312">
            <v>396001</v>
          </cell>
          <cell r="B312" t="str">
            <v>Otros gastos por responsabilidades</v>
          </cell>
          <cell r="C312" t="str">
            <v>S</v>
          </cell>
        </row>
        <row r="313">
          <cell r="A313">
            <v>399000</v>
          </cell>
          <cell r="B313" t="str">
            <v>Otros servicios generales</v>
          </cell>
          <cell r="C313" t="str">
            <v>N</v>
          </cell>
        </row>
        <row r="314">
          <cell r="A314">
            <v>399001</v>
          </cell>
          <cell r="B314" t="str">
            <v>Gastos menores</v>
          </cell>
          <cell r="C314" t="str">
            <v>S</v>
          </cell>
        </row>
        <row r="315">
          <cell r="A315">
            <v>399002</v>
          </cell>
          <cell r="B315" t="str">
            <v>Retribuciones a reos</v>
          </cell>
          <cell r="C315" t="str">
            <v>S</v>
          </cell>
        </row>
        <row r="316">
          <cell r="A316">
            <v>399003</v>
          </cell>
          <cell r="B316" t="str">
            <v>Otros servicios de la administración pública</v>
          </cell>
          <cell r="C316" t="str">
            <v>S</v>
          </cell>
        </row>
        <row r="317">
          <cell r="A317">
            <v>399004</v>
          </cell>
          <cell r="B317" t="str">
            <v>Previsión Arrendamientos</v>
          </cell>
          <cell r="C317" t="str">
            <v>Prev</v>
          </cell>
        </row>
        <row r="318">
          <cell r="A318">
            <v>500000</v>
          </cell>
          <cell r="B318" t="str">
            <v>BIENES MUEBLES, INMUEBLES E INTANGIBLES</v>
          </cell>
          <cell r="C318" t="str">
            <v>N</v>
          </cell>
        </row>
        <row r="319">
          <cell r="A319">
            <v>510000</v>
          </cell>
          <cell r="B319" t="str">
            <v>MOBILIARIO Y EQUIPO DE ADMINISTRACIÓN</v>
          </cell>
          <cell r="C319" t="str">
            <v>N</v>
          </cell>
        </row>
        <row r="320">
          <cell r="A320">
            <v>511000</v>
          </cell>
          <cell r="B320" t="str">
            <v>Muebles de oficina y estantería</v>
          </cell>
          <cell r="C320" t="str">
            <v>N</v>
          </cell>
        </row>
        <row r="321">
          <cell r="A321">
            <v>511001</v>
          </cell>
          <cell r="B321" t="str">
            <v>Mobiliario</v>
          </cell>
          <cell r="C321" t="str">
            <v>S</v>
          </cell>
        </row>
        <row r="322">
          <cell r="A322">
            <v>512000</v>
          </cell>
          <cell r="B322" t="str">
            <v>Muebles, excepto de oficina y estantería</v>
          </cell>
          <cell r="C322" t="str">
            <v>N</v>
          </cell>
        </row>
        <row r="323">
          <cell r="A323">
            <v>512001</v>
          </cell>
          <cell r="B323" t="str">
            <v>Muebles, excepto de oficina y estantería</v>
          </cell>
          <cell r="C323" t="str">
            <v>S</v>
          </cell>
        </row>
        <row r="324">
          <cell r="A324">
            <v>513000</v>
          </cell>
          <cell r="B324" t="str">
            <v>Bienes artísticos, culturales y científicos</v>
          </cell>
          <cell r="C324" t="str">
            <v>N</v>
          </cell>
        </row>
        <row r="325">
          <cell r="A325">
            <v>513001</v>
          </cell>
          <cell r="B325" t="str">
            <v>Bienes artísticos y culturales</v>
          </cell>
          <cell r="C325" t="str">
            <v>S</v>
          </cell>
        </row>
        <row r="326">
          <cell r="A326">
            <v>514000</v>
          </cell>
          <cell r="B326" t="str">
            <v>Objetos de valor</v>
          </cell>
          <cell r="C326" t="str">
            <v>N</v>
          </cell>
        </row>
        <row r="327">
          <cell r="A327">
            <v>514001</v>
          </cell>
          <cell r="B327" t="str">
            <v>Objetos de valor</v>
          </cell>
          <cell r="C327" t="str">
            <v>S</v>
          </cell>
        </row>
        <row r="328">
          <cell r="A328">
            <v>515000</v>
          </cell>
          <cell r="B328" t="str">
            <v>Equipo de cómputo y de tecnologías de la información</v>
          </cell>
          <cell r="C328" t="str">
            <v>N</v>
          </cell>
        </row>
        <row r="329">
          <cell r="A329">
            <v>515001</v>
          </cell>
          <cell r="B329" t="str">
            <v>Equipo de administración</v>
          </cell>
          <cell r="C329" t="str">
            <v>S</v>
          </cell>
        </row>
        <row r="330">
          <cell r="A330">
            <v>515002</v>
          </cell>
          <cell r="B330" t="str">
            <v>Equipo de Cómputo y Aparatos de Uso Informático</v>
          </cell>
          <cell r="C330" t="str">
            <v>S</v>
          </cell>
        </row>
        <row r="331">
          <cell r="A331">
            <v>515003</v>
          </cell>
          <cell r="B331" t="str">
            <v>Sistemas de Rastreo Satelital (GPS)</v>
          </cell>
          <cell r="C331" t="str">
            <v>S</v>
          </cell>
        </row>
        <row r="332">
          <cell r="A332">
            <v>519000</v>
          </cell>
          <cell r="B332" t="str">
            <v>Otros mobiliarios y equipos de administración</v>
          </cell>
          <cell r="C332" t="str">
            <v>N</v>
          </cell>
        </row>
        <row r="333">
          <cell r="A333">
            <v>519001</v>
          </cell>
          <cell r="B333" t="str">
            <v>Cámaras y Circuitos Cerrados de Seguridad</v>
          </cell>
          <cell r="C333" t="str">
            <v>S</v>
          </cell>
        </row>
        <row r="334">
          <cell r="A334">
            <v>519002</v>
          </cell>
          <cell r="B334" t="str">
            <v>Equipos de Audio</v>
          </cell>
          <cell r="C334" t="str">
            <v>S</v>
          </cell>
        </row>
        <row r="335">
          <cell r="A335">
            <v>519003</v>
          </cell>
          <cell r="B335" t="str">
            <v>Otras Herramientas, Mobiliarios y Eq. De Administración</v>
          </cell>
          <cell r="C335" t="str">
            <v>S</v>
          </cell>
        </row>
        <row r="336">
          <cell r="A336">
            <v>519004</v>
          </cell>
          <cell r="B336" t="str">
            <v>Aulas Móviles de Vigilancia</v>
          </cell>
          <cell r="C336" t="str">
            <v>S</v>
          </cell>
        </row>
        <row r="337">
          <cell r="A337">
            <v>520000</v>
          </cell>
          <cell r="B337" t="str">
            <v>MOBILIARIO Y EQUIPO EDUCACIONAL Y RECREATIVO</v>
          </cell>
          <cell r="C337" t="str">
            <v>N</v>
          </cell>
        </row>
        <row r="338">
          <cell r="A338">
            <v>521000</v>
          </cell>
          <cell r="B338" t="str">
            <v>Equipos y aparatos audiovisuales</v>
          </cell>
          <cell r="C338" t="str">
            <v>N</v>
          </cell>
        </row>
        <row r="339">
          <cell r="A339">
            <v>521001</v>
          </cell>
          <cell r="B339" t="str">
            <v>Equipo educacional y recreativo</v>
          </cell>
          <cell r="C339" t="str">
            <v>S</v>
          </cell>
        </row>
        <row r="340">
          <cell r="A340">
            <v>522000</v>
          </cell>
          <cell r="B340" t="str">
            <v>Aparatos deportivos</v>
          </cell>
          <cell r="C340" t="str">
            <v>N</v>
          </cell>
        </row>
        <row r="341">
          <cell r="A341">
            <v>522001</v>
          </cell>
          <cell r="B341" t="str">
            <v>Aparatos deportivos</v>
          </cell>
          <cell r="C341" t="str">
            <v>S</v>
          </cell>
        </row>
        <row r="342">
          <cell r="A342">
            <v>523000</v>
          </cell>
          <cell r="B342" t="str">
            <v>Cámaras fotográficas y de video</v>
          </cell>
          <cell r="C342" t="str">
            <v>N</v>
          </cell>
        </row>
        <row r="343">
          <cell r="A343">
            <v>523001</v>
          </cell>
          <cell r="B343" t="str">
            <v>Cámaras Fotográficas</v>
          </cell>
          <cell r="C343" t="str">
            <v>S</v>
          </cell>
        </row>
        <row r="344">
          <cell r="A344">
            <v>523002</v>
          </cell>
          <cell r="B344" t="str">
            <v>Cámaras de Video</v>
          </cell>
          <cell r="C344" t="str">
            <v>S</v>
          </cell>
        </row>
        <row r="345">
          <cell r="A345">
            <v>529000</v>
          </cell>
          <cell r="B345" t="str">
            <v>Otro mobiliario y equipo educacional y recreativo</v>
          </cell>
          <cell r="C345" t="str">
            <v>N</v>
          </cell>
        </row>
        <row r="346">
          <cell r="A346">
            <v>529001</v>
          </cell>
          <cell r="B346" t="str">
            <v>Instrumentos Musicales</v>
          </cell>
          <cell r="C346" t="str">
            <v>S</v>
          </cell>
        </row>
        <row r="347">
          <cell r="A347">
            <v>529002</v>
          </cell>
          <cell r="B347" t="str">
            <v>Equipo Educacional</v>
          </cell>
          <cell r="C347" t="str">
            <v>S</v>
          </cell>
        </row>
        <row r="348">
          <cell r="A348">
            <v>530000</v>
          </cell>
          <cell r="B348" t="str">
            <v>EQUIPO E INSTRUMENTAL MÉDICO Y DE LABORATORIO</v>
          </cell>
          <cell r="C348" t="str">
            <v>N</v>
          </cell>
        </row>
        <row r="349">
          <cell r="A349">
            <v>531000</v>
          </cell>
          <cell r="B349" t="str">
            <v>Equipo médico y de laboratorio</v>
          </cell>
          <cell r="C349" t="str">
            <v>N</v>
          </cell>
        </row>
        <row r="350">
          <cell r="A350">
            <v>531001</v>
          </cell>
          <cell r="B350" t="str">
            <v>Equipo e instrumental medico</v>
          </cell>
          <cell r="C350" t="str">
            <v>S</v>
          </cell>
        </row>
        <row r="351">
          <cell r="A351">
            <v>532000</v>
          </cell>
          <cell r="B351" t="str">
            <v>Instrumental médico y de laboratorio</v>
          </cell>
          <cell r="C351" t="str">
            <v>N</v>
          </cell>
        </row>
        <row r="352">
          <cell r="A352">
            <v>532001</v>
          </cell>
          <cell r="B352" t="str">
            <v>Instrumental médico y de laboratorio</v>
          </cell>
          <cell r="C352" t="str">
            <v>S</v>
          </cell>
        </row>
        <row r="353">
          <cell r="A353">
            <v>540000</v>
          </cell>
          <cell r="B353" t="str">
            <v>VEHÍCULOS Y EQUIPO DE TRANSPORTE</v>
          </cell>
          <cell r="C353" t="str">
            <v>N</v>
          </cell>
        </row>
        <row r="354">
          <cell r="A354">
            <v>541000</v>
          </cell>
          <cell r="B354" t="str">
            <v>Automóviles y camiones</v>
          </cell>
          <cell r="C354" t="str">
            <v>N</v>
          </cell>
        </row>
        <row r="355">
          <cell r="A355">
            <v>541001</v>
          </cell>
          <cell r="B355" t="str">
            <v>Vehículos y equipo terrestre</v>
          </cell>
          <cell r="C355" t="str">
            <v>S</v>
          </cell>
        </row>
        <row r="356">
          <cell r="A356">
            <v>542000</v>
          </cell>
          <cell r="B356" t="str">
            <v>Carrocerías y remolques</v>
          </cell>
          <cell r="C356" t="str">
            <v>N</v>
          </cell>
        </row>
        <row r="357">
          <cell r="A357">
            <v>542001</v>
          </cell>
          <cell r="B357" t="str">
            <v>Carrocerías y remolques</v>
          </cell>
          <cell r="C357" t="str">
            <v>S</v>
          </cell>
        </row>
        <row r="358">
          <cell r="A358">
            <v>543000</v>
          </cell>
          <cell r="B358" t="str">
            <v>Equipo aeroespacial</v>
          </cell>
          <cell r="C358" t="str">
            <v>N</v>
          </cell>
        </row>
        <row r="359">
          <cell r="A359">
            <v>543001</v>
          </cell>
          <cell r="B359" t="str">
            <v>Vehículos y equipo de transporte aéreo</v>
          </cell>
          <cell r="C359" t="str">
            <v>S</v>
          </cell>
        </row>
        <row r="360">
          <cell r="A360">
            <v>544000</v>
          </cell>
          <cell r="B360" t="str">
            <v>Equipo ferroviario</v>
          </cell>
          <cell r="C360" t="str">
            <v>N</v>
          </cell>
        </row>
        <row r="361">
          <cell r="A361">
            <v>544001</v>
          </cell>
          <cell r="B361" t="str">
            <v>Equipo ferroviario</v>
          </cell>
          <cell r="C361" t="str">
            <v>S</v>
          </cell>
        </row>
        <row r="362">
          <cell r="A362">
            <v>545000</v>
          </cell>
          <cell r="B362" t="str">
            <v>Embarcaciones</v>
          </cell>
          <cell r="C362" t="str">
            <v>N</v>
          </cell>
        </row>
        <row r="363">
          <cell r="A363">
            <v>545001</v>
          </cell>
          <cell r="B363" t="str">
            <v>Vehículos y equipo marino</v>
          </cell>
          <cell r="C363" t="str">
            <v>S</v>
          </cell>
        </row>
        <row r="364">
          <cell r="A364">
            <v>549000</v>
          </cell>
          <cell r="B364" t="str">
            <v>Otros Equipos de Transporte</v>
          </cell>
          <cell r="C364" t="str">
            <v>N</v>
          </cell>
        </row>
        <row r="365">
          <cell r="A365">
            <v>549001</v>
          </cell>
          <cell r="B365" t="str">
            <v>Otros equipos de transporte</v>
          </cell>
          <cell r="C365" t="str">
            <v>S</v>
          </cell>
        </row>
        <row r="366">
          <cell r="A366">
            <v>550000</v>
          </cell>
          <cell r="B366" t="str">
            <v>EQUIPO DE DEFENSA Y SEGURIDAD</v>
          </cell>
          <cell r="C366" t="str">
            <v>N</v>
          </cell>
        </row>
        <row r="367">
          <cell r="A367">
            <v>551000</v>
          </cell>
          <cell r="B367" t="str">
            <v>Equipo de defensa y seguridad</v>
          </cell>
          <cell r="C367" t="str">
            <v>N</v>
          </cell>
        </row>
        <row r="368">
          <cell r="A368">
            <v>551001</v>
          </cell>
          <cell r="B368" t="str">
            <v>Equipo de defensa y seguridad pública</v>
          </cell>
          <cell r="C368" t="str">
            <v>S</v>
          </cell>
        </row>
        <row r="369">
          <cell r="A369">
            <v>560000</v>
          </cell>
          <cell r="B369" t="str">
            <v>MAQUINARIA, OTROS EQUIPOS Y HERRAMIENTAS</v>
          </cell>
          <cell r="C369" t="str">
            <v>N</v>
          </cell>
        </row>
        <row r="370">
          <cell r="A370">
            <v>561000</v>
          </cell>
          <cell r="B370" t="str">
            <v>Maquinaria y equipo agropecuario</v>
          </cell>
          <cell r="C370" t="str">
            <v>N</v>
          </cell>
        </row>
        <row r="371">
          <cell r="A371">
            <v>561001</v>
          </cell>
          <cell r="B371" t="str">
            <v>Maquinaria y equipo agropecuario, industrial y de construcción</v>
          </cell>
          <cell r="C371" t="str">
            <v>S</v>
          </cell>
        </row>
        <row r="372">
          <cell r="A372">
            <v>562000</v>
          </cell>
          <cell r="B372" t="str">
            <v>Maquinaria y equipo industrial</v>
          </cell>
          <cell r="C372" t="str">
            <v>N</v>
          </cell>
        </row>
        <row r="373">
          <cell r="A373">
            <v>562001</v>
          </cell>
          <cell r="B373" t="str">
            <v>Bombas Industriales</v>
          </cell>
          <cell r="C373" t="str">
            <v>S</v>
          </cell>
        </row>
        <row r="374">
          <cell r="A374">
            <v>563000</v>
          </cell>
          <cell r="B374" t="str">
            <v>Maquinaria y equipo de construcción</v>
          </cell>
          <cell r="C374" t="str">
            <v>N</v>
          </cell>
        </row>
        <row r="375">
          <cell r="A375">
            <v>563001</v>
          </cell>
          <cell r="B375" t="str">
            <v>Maquinaria y equipo de construcción</v>
          </cell>
          <cell r="C375" t="str">
            <v>S</v>
          </cell>
        </row>
        <row r="376">
          <cell r="A376">
            <v>564000</v>
          </cell>
          <cell r="B376" t="str">
            <v>Sistemas de aire acondicionado, calefacción y de refrigeración industrial y comercial</v>
          </cell>
          <cell r="C376" t="str">
            <v>N</v>
          </cell>
        </row>
        <row r="377">
          <cell r="A377">
            <v>564001</v>
          </cell>
          <cell r="B377" t="str">
            <v>Sistemas de aire acondicionado, calefacción y de refrigeración industrial y comercial</v>
          </cell>
          <cell r="C377" t="str">
            <v>S</v>
          </cell>
        </row>
        <row r="378">
          <cell r="A378">
            <v>565000</v>
          </cell>
          <cell r="B378" t="str">
            <v>Equipo de comunicación y telecomunicación</v>
          </cell>
          <cell r="C378" t="str">
            <v>N</v>
          </cell>
        </row>
        <row r="379">
          <cell r="A379">
            <v>565001</v>
          </cell>
          <cell r="B379" t="str">
            <v>Maq. y equipo de telecomunicaciones, eléctrica y electrónica</v>
          </cell>
          <cell r="C379" t="str">
            <v>S</v>
          </cell>
        </row>
        <row r="380">
          <cell r="A380">
            <v>566000</v>
          </cell>
          <cell r="B380" t="str">
            <v>Equipos de generación eléctrica, aparatos y accesorios eléctricos</v>
          </cell>
          <cell r="C380" t="str">
            <v>N</v>
          </cell>
        </row>
        <row r="381">
          <cell r="A381">
            <v>566001</v>
          </cell>
          <cell r="B381" t="str">
            <v>Equipos de generación eléctrica</v>
          </cell>
          <cell r="C381" t="str">
            <v>S</v>
          </cell>
        </row>
        <row r="382">
          <cell r="A382">
            <v>566002</v>
          </cell>
          <cell r="B382" t="str">
            <v>Aparatos y Accesorios eléctricos</v>
          </cell>
          <cell r="C382" t="str">
            <v>S</v>
          </cell>
        </row>
        <row r="383">
          <cell r="A383">
            <v>567000</v>
          </cell>
          <cell r="B383" t="str">
            <v>Herramientas y máquinas-herramienta</v>
          </cell>
          <cell r="C383" t="str">
            <v>N</v>
          </cell>
        </row>
        <row r="384">
          <cell r="A384">
            <v>567001</v>
          </cell>
          <cell r="B384" t="str">
            <v>Herramientas y refacciones mayores</v>
          </cell>
          <cell r="C384" t="str">
            <v>S</v>
          </cell>
        </row>
        <row r="385">
          <cell r="A385">
            <v>569000</v>
          </cell>
          <cell r="B385" t="str">
            <v>Otros equipos</v>
          </cell>
          <cell r="C385" t="str">
            <v>N</v>
          </cell>
        </row>
        <row r="386">
          <cell r="A386">
            <v>569001</v>
          </cell>
          <cell r="B386" t="str">
            <v>Maquinaria y equipo diverso</v>
          </cell>
          <cell r="C386" t="str">
            <v>S</v>
          </cell>
        </row>
        <row r="387">
          <cell r="A387">
            <v>570000</v>
          </cell>
          <cell r="B387" t="str">
            <v>ACTIVOS BIOLÓGICOS</v>
          </cell>
          <cell r="C387" t="str">
            <v>N</v>
          </cell>
        </row>
        <row r="388">
          <cell r="A388">
            <v>571000</v>
          </cell>
          <cell r="B388" t="str">
            <v>Bovinos</v>
          </cell>
          <cell r="C388" t="str">
            <v>N</v>
          </cell>
        </row>
        <row r="389">
          <cell r="A389">
            <v>571001</v>
          </cell>
          <cell r="B389" t="str">
            <v>Bovinos</v>
          </cell>
          <cell r="C389" t="str">
            <v>S</v>
          </cell>
        </row>
        <row r="390">
          <cell r="A390">
            <v>572000</v>
          </cell>
          <cell r="B390" t="str">
            <v>Porcinos</v>
          </cell>
          <cell r="C390" t="str">
            <v>N</v>
          </cell>
        </row>
        <row r="391">
          <cell r="A391">
            <v>572001</v>
          </cell>
          <cell r="B391" t="str">
            <v>Porcinos</v>
          </cell>
          <cell r="C391" t="str">
            <v>S</v>
          </cell>
        </row>
        <row r="392">
          <cell r="A392">
            <v>573000</v>
          </cell>
          <cell r="B392" t="str">
            <v>Aves</v>
          </cell>
          <cell r="C392" t="str">
            <v>N</v>
          </cell>
        </row>
        <row r="393">
          <cell r="A393">
            <v>573001</v>
          </cell>
          <cell r="B393" t="str">
            <v>Aves</v>
          </cell>
          <cell r="C393" t="str">
            <v>S</v>
          </cell>
        </row>
        <row r="394">
          <cell r="A394">
            <v>574000</v>
          </cell>
          <cell r="B394" t="str">
            <v>Ovinos y caprinos</v>
          </cell>
          <cell r="C394" t="str">
            <v>N</v>
          </cell>
        </row>
        <row r="395">
          <cell r="A395">
            <v>574001</v>
          </cell>
          <cell r="B395" t="str">
            <v>Ovinos y caprinos</v>
          </cell>
          <cell r="C395" t="str">
            <v>S</v>
          </cell>
        </row>
        <row r="396">
          <cell r="A396">
            <v>575000</v>
          </cell>
          <cell r="B396" t="str">
            <v>Peces y acuicultura</v>
          </cell>
          <cell r="C396" t="str">
            <v>N</v>
          </cell>
        </row>
        <row r="397">
          <cell r="A397">
            <v>575001</v>
          </cell>
          <cell r="B397" t="str">
            <v>Peces y acuicultura</v>
          </cell>
          <cell r="C397" t="str">
            <v>S</v>
          </cell>
        </row>
        <row r="398">
          <cell r="A398">
            <v>576000</v>
          </cell>
          <cell r="B398" t="str">
            <v>Equinos</v>
          </cell>
          <cell r="C398" t="str">
            <v>N</v>
          </cell>
        </row>
        <row r="399">
          <cell r="A399">
            <v>576001</v>
          </cell>
          <cell r="B399" t="str">
            <v>Equinos</v>
          </cell>
          <cell r="C399" t="str">
            <v>S</v>
          </cell>
        </row>
        <row r="400">
          <cell r="A400">
            <v>577000</v>
          </cell>
          <cell r="B400" t="str">
            <v>Especies menores y de zoológico</v>
          </cell>
          <cell r="C400" t="str">
            <v>N</v>
          </cell>
        </row>
        <row r="401">
          <cell r="A401">
            <v>577001</v>
          </cell>
          <cell r="B401" t="str">
            <v>Especies menores y de zoológico</v>
          </cell>
          <cell r="C401" t="str">
            <v>S</v>
          </cell>
        </row>
        <row r="402">
          <cell r="A402">
            <v>578000</v>
          </cell>
          <cell r="B402" t="str">
            <v>Árboles y plantas</v>
          </cell>
          <cell r="C402" t="str">
            <v>N</v>
          </cell>
        </row>
        <row r="403">
          <cell r="A403">
            <v>578001</v>
          </cell>
          <cell r="B403" t="str">
            <v>Árboles y plantas</v>
          </cell>
          <cell r="C403" t="str">
            <v>S</v>
          </cell>
        </row>
        <row r="404">
          <cell r="A404">
            <v>579000</v>
          </cell>
          <cell r="B404" t="str">
            <v>Otros activos biológicos</v>
          </cell>
          <cell r="C404" t="str">
            <v>N</v>
          </cell>
        </row>
        <row r="405">
          <cell r="A405">
            <v>579001</v>
          </cell>
          <cell r="B405" t="str">
            <v>Otros activos biológicos</v>
          </cell>
          <cell r="C405" t="str">
            <v>S</v>
          </cell>
        </row>
        <row r="406">
          <cell r="A406">
            <v>580000</v>
          </cell>
          <cell r="B406" t="str">
            <v>BIENES INMUEBLES</v>
          </cell>
          <cell r="C406" t="str">
            <v>N</v>
          </cell>
        </row>
        <row r="407">
          <cell r="A407">
            <v>581000</v>
          </cell>
          <cell r="B407" t="str">
            <v>Terrenos</v>
          </cell>
          <cell r="C407" t="str">
            <v>N</v>
          </cell>
        </row>
        <row r="408">
          <cell r="A408">
            <v>581001</v>
          </cell>
          <cell r="B408" t="str">
            <v>Terrenos</v>
          </cell>
          <cell r="C408" t="str">
            <v>S</v>
          </cell>
        </row>
        <row r="409">
          <cell r="A409">
            <v>582000</v>
          </cell>
          <cell r="B409" t="str">
            <v>Viviendas</v>
          </cell>
          <cell r="C409" t="str">
            <v>N</v>
          </cell>
        </row>
        <row r="410">
          <cell r="A410">
            <v>582001</v>
          </cell>
          <cell r="B410" t="str">
            <v>Viviendas</v>
          </cell>
          <cell r="C410" t="str">
            <v>S</v>
          </cell>
        </row>
        <row r="411">
          <cell r="A411">
            <v>583000</v>
          </cell>
          <cell r="B411" t="str">
            <v>Edificios no residenciales</v>
          </cell>
          <cell r="C411" t="str">
            <v>N</v>
          </cell>
        </row>
        <row r="412">
          <cell r="A412">
            <v>583001</v>
          </cell>
          <cell r="B412" t="str">
            <v>Edificios y locales</v>
          </cell>
          <cell r="C412" t="str">
            <v>S</v>
          </cell>
        </row>
        <row r="413">
          <cell r="A413">
            <v>589000</v>
          </cell>
          <cell r="B413" t="str">
            <v>Otros bienes inmuebles</v>
          </cell>
          <cell r="C413" t="str">
            <v>N</v>
          </cell>
        </row>
        <row r="414">
          <cell r="A414">
            <v>589001</v>
          </cell>
          <cell r="B414" t="str">
            <v>Adjudicaciones, expropiaciones e indemnizaciones de inmuebles</v>
          </cell>
          <cell r="C414" t="str">
            <v>S</v>
          </cell>
        </row>
        <row r="415">
          <cell r="A415">
            <v>590000</v>
          </cell>
          <cell r="B415" t="str">
            <v>ACTIVOS INTANGIBLES</v>
          </cell>
          <cell r="C415" t="str">
            <v>N</v>
          </cell>
        </row>
        <row r="416">
          <cell r="A416">
            <v>591000</v>
          </cell>
          <cell r="B416" t="str">
            <v>Software</v>
          </cell>
          <cell r="C416" t="str">
            <v>N</v>
          </cell>
        </row>
        <row r="417">
          <cell r="A417">
            <v>591001</v>
          </cell>
          <cell r="B417" t="str">
            <v>Software</v>
          </cell>
          <cell r="C417" t="str">
            <v>S</v>
          </cell>
        </row>
        <row r="418">
          <cell r="A418">
            <v>592000</v>
          </cell>
          <cell r="B418" t="str">
            <v>Patentes</v>
          </cell>
          <cell r="C418" t="str">
            <v>N</v>
          </cell>
        </row>
        <row r="419">
          <cell r="A419">
            <v>592001</v>
          </cell>
          <cell r="B419" t="str">
            <v>Patentes</v>
          </cell>
          <cell r="C419" t="str">
            <v>S</v>
          </cell>
        </row>
        <row r="420">
          <cell r="A420">
            <v>593000</v>
          </cell>
          <cell r="B420" t="str">
            <v>Marcas</v>
          </cell>
          <cell r="C420" t="str">
            <v>N</v>
          </cell>
        </row>
        <row r="421">
          <cell r="A421">
            <v>593001</v>
          </cell>
          <cell r="B421" t="str">
            <v>Marcas</v>
          </cell>
          <cell r="C421" t="str">
            <v>S</v>
          </cell>
        </row>
        <row r="422">
          <cell r="A422">
            <v>594000</v>
          </cell>
          <cell r="B422" t="str">
            <v>Derechos</v>
          </cell>
          <cell r="C422" t="str">
            <v>N</v>
          </cell>
        </row>
        <row r="423">
          <cell r="A423">
            <v>594001</v>
          </cell>
          <cell r="B423" t="str">
            <v>Derechos</v>
          </cell>
          <cell r="C423" t="str">
            <v>S</v>
          </cell>
        </row>
        <row r="424">
          <cell r="A424">
            <v>595000</v>
          </cell>
          <cell r="B424" t="str">
            <v>Concesiones</v>
          </cell>
          <cell r="C424" t="str">
            <v>N</v>
          </cell>
        </row>
        <row r="425">
          <cell r="A425">
            <v>595001</v>
          </cell>
          <cell r="B425" t="str">
            <v>Concesiones</v>
          </cell>
          <cell r="C425" t="str">
            <v>S</v>
          </cell>
        </row>
        <row r="426">
          <cell r="A426">
            <v>596000</v>
          </cell>
          <cell r="B426" t="str">
            <v>Franquicias</v>
          </cell>
          <cell r="C426" t="str">
            <v>N</v>
          </cell>
        </row>
        <row r="427">
          <cell r="A427">
            <v>596001</v>
          </cell>
          <cell r="B427" t="str">
            <v>Franquicias</v>
          </cell>
          <cell r="C427" t="str">
            <v>S</v>
          </cell>
        </row>
        <row r="428">
          <cell r="A428">
            <v>597000</v>
          </cell>
          <cell r="B428" t="str">
            <v>Licencias informáticas e intelectuales</v>
          </cell>
          <cell r="C428" t="str">
            <v>N</v>
          </cell>
        </row>
        <row r="429">
          <cell r="A429">
            <v>597001</v>
          </cell>
          <cell r="B429" t="str">
            <v>Licencias para programas de antivirus</v>
          </cell>
          <cell r="C429" t="str">
            <v>S</v>
          </cell>
        </row>
        <row r="430">
          <cell r="A430">
            <v>597002</v>
          </cell>
          <cell r="B430" t="str">
            <v>Licencias Microsoft Windows server 2003 edición estándar</v>
          </cell>
          <cell r="C430" t="str">
            <v>S</v>
          </cell>
        </row>
        <row r="431">
          <cell r="A431">
            <v>598000</v>
          </cell>
          <cell r="B431" t="str">
            <v>Licencias industriales, comerciales y otras</v>
          </cell>
          <cell r="C431" t="str">
            <v>N</v>
          </cell>
        </row>
        <row r="432">
          <cell r="A432">
            <v>598001</v>
          </cell>
          <cell r="B432" t="str">
            <v>Licencias industriales, comerciales y otras</v>
          </cell>
          <cell r="C432" t="str">
            <v>S</v>
          </cell>
        </row>
        <row r="433">
          <cell r="A433">
            <v>599000</v>
          </cell>
          <cell r="B433" t="str">
            <v>Otros activos intangibles</v>
          </cell>
          <cell r="C433" t="str">
            <v>N</v>
          </cell>
        </row>
        <row r="434">
          <cell r="A434">
            <v>599001</v>
          </cell>
          <cell r="B434" t="str">
            <v>Otros activos intangibles</v>
          </cell>
          <cell r="C434" t="str">
            <v>S</v>
          </cell>
        </row>
      </sheetData>
      <sheetData sheetId="4"/>
      <sheetData sheetId="5"/>
      <sheetData sheetId="6">
        <row r="1">
          <cell r="A1" t="str">
            <v>NOMENCLATURA</v>
          </cell>
          <cell r="B1" t="str">
            <v>DESCRPCION</v>
          </cell>
        </row>
        <row r="2">
          <cell r="A2">
            <v>100</v>
          </cell>
          <cell r="B2" t="str">
            <v>INGRESOS PROPIOS Y APROVECHAMIENTOS</v>
          </cell>
        </row>
        <row r="3">
          <cell r="A3">
            <v>101</v>
          </cell>
          <cell r="B3" t="str">
            <v>INGRESOS PROPIOS (IMPUESTOS, DERECHOS, PRODUCTOS Y APROVECHAMIENTOS)</v>
          </cell>
        </row>
        <row r="4">
          <cell r="A4">
            <v>102</v>
          </cell>
          <cell r="B4" t="str">
            <v>INGRESOS PROPIOS</v>
          </cell>
        </row>
        <row r="5">
          <cell r="A5">
            <v>103</v>
          </cell>
          <cell r="B5" t="str">
            <v>INGRESOS PROPIOS APORTACIONES MUNICIPALES</v>
          </cell>
        </row>
        <row r="6">
          <cell r="A6">
            <v>104</v>
          </cell>
          <cell r="B6" t="str">
            <v>APROVECHAMIENTO POR EL USO DE LA I NFRAESTRUCTURA ESTATAL</v>
          </cell>
        </row>
        <row r="7">
          <cell r="A7">
            <v>110</v>
          </cell>
          <cell r="B7" t="str">
            <v>RECURSO F.O.I.S.</v>
          </cell>
        </row>
        <row r="8">
          <cell r="A8">
            <v>111</v>
          </cell>
          <cell r="B8" t="str">
            <v>RECURSO A.P.I.</v>
          </cell>
        </row>
        <row r="9">
          <cell r="A9">
            <v>130</v>
          </cell>
          <cell r="B9" t="str">
            <v>Reintegro con Ingresos Propios Ramo 28</v>
          </cell>
        </row>
        <row r="10">
          <cell r="A10">
            <v>136</v>
          </cell>
          <cell r="B10" t="str">
            <v>Reintegro con Ingresos Propios FONE</v>
          </cell>
        </row>
        <row r="11">
          <cell r="A11">
            <v>137</v>
          </cell>
          <cell r="B11" t="str">
            <v>Reintegro con Ingresos Propios FASSA</v>
          </cell>
        </row>
        <row r="12">
          <cell r="A12">
            <v>138</v>
          </cell>
          <cell r="B12" t="str">
            <v>Reintegro con Ingresos Propios FAIS/FISE</v>
          </cell>
        </row>
        <row r="13">
          <cell r="A13">
            <v>139</v>
          </cell>
          <cell r="B13" t="str">
            <v>Reintegro con Ingresos Propios FAIS/FISM</v>
          </cell>
        </row>
        <row r="14">
          <cell r="A14">
            <v>140</v>
          </cell>
          <cell r="B14" t="str">
            <v>Reintegro con Ingresos Propios FORTAMUN</v>
          </cell>
        </row>
        <row r="15">
          <cell r="A15">
            <v>141</v>
          </cell>
          <cell r="B15" t="str">
            <v>Reintegro con Ingresos Propios FAM/Asistencia Social</v>
          </cell>
        </row>
        <row r="16">
          <cell r="A16">
            <v>142</v>
          </cell>
          <cell r="B16" t="str">
            <v>Reintegro con Ingresos Propios FAM/Infraest. Educación Básica</v>
          </cell>
        </row>
        <row r="17">
          <cell r="A17">
            <v>143</v>
          </cell>
          <cell r="B17" t="str">
            <v>Reintegro con Ingresos Propios FAM/ Infraest. Educación Media Superior y Superior</v>
          </cell>
        </row>
        <row r="18">
          <cell r="A18">
            <v>145</v>
          </cell>
          <cell r="B18" t="str">
            <v>Reintegro con Ingresos Propios FAETA/Educ. Tecnológica (CONALEP)</v>
          </cell>
        </row>
        <row r="19">
          <cell r="A19">
            <v>146</v>
          </cell>
          <cell r="B19" t="str">
            <v>Reintegro con Ingresos Propios FAETA Educ. Adultos (IEEA)</v>
          </cell>
        </row>
        <row r="20">
          <cell r="A20">
            <v>147</v>
          </cell>
          <cell r="B20" t="str">
            <v>Reintegro con Ingresos Propios FASP</v>
          </cell>
        </row>
        <row r="21">
          <cell r="A21">
            <v>148</v>
          </cell>
          <cell r="B21" t="str">
            <v>Reintegro con Ingresos Propios FAFEF</v>
          </cell>
        </row>
        <row r="22">
          <cell r="A22">
            <v>149</v>
          </cell>
          <cell r="B22" t="str">
            <v>Reintegro con Ingresos Propios SEDATU</v>
          </cell>
        </row>
        <row r="23">
          <cell r="A23">
            <v>161</v>
          </cell>
          <cell r="B23" t="str">
            <v>Reintegro con Ingresos Propios CULTURA Ramo 48</v>
          </cell>
        </row>
        <row r="24">
          <cell r="A24">
            <v>162</v>
          </cell>
          <cell r="B24" t="str">
            <v>Reintegro con Ingresos Propios UABCS</v>
          </cell>
        </row>
        <row r="25">
          <cell r="A25">
            <v>163</v>
          </cell>
          <cell r="B25" t="str">
            <v>Reintegro con Ingresos Propios CONAGUA</v>
          </cell>
        </row>
        <row r="26">
          <cell r="A26">
            <v>164</v>
          </cell>
          <cell r="B26" t="str">
            <v>Reintegro con Ingresos Propios SEGOB</v>
          </cell>
        </row>
        <row r="27">
          <cell r="A27">
            <v>165</v>
          </cell>
          <cell r="B27" t="str">
            <v>Reintegro con Ingresos Propios SECTUR</v>
          </cell>
        </row>
        <row r="28">
          <cell r="A28">
            <v>166</v>
          </cell>
          <cell r="B28" t="str">
            <v>Reintegro con Ingresos Propios PROFIS</v>
          </cell>
        </row>
        <row r="29">
          <cell r="A29">
            <v>167</v>
          </cell>
          <cell r="B29" t="str">
            <v>Reintegro con Ingresos Propios SSP</v>
          </cell>
        </row>
        <row r="30">
          <cell r="A30">
            <v>168</v>
          </cell>
          <cell r="B30" t="str">
            <v>Reintegro con Ingresos Propios COBACH</v>
          </cell>
        </row>
        <row r="31">
          <cell r="A31">
            <v>169</v>
          </cell>
          <cell r="B31" t="str">
            <v>Reintegro con Ingresos Propios Fondo Proporcional Peso a Peso</v>
          </cell>
        </row>
        <row r="32">
          <cell r="A32">
            <v>170</v>
          </cell>
          <cell r="B32" t="str">
            <v>Reintegro con Ingresos Propios CECYTE</v>
          </cell>
        </row>
        <row r="33">
          <cell r="A33">
            <v>171</v>
          </cell>
          <cell r="B33" t="str">
            <v>Reintegro con Ingresos Propios Imp. Ref. Penal (SETEC)</v>
          </cell>
        </row>
        <row r="34">
          <cell r="A34">
            <v>172</v>
          </cell>
          <cell r="B34" t="str">
            <v>Reintegro con Ingresos Propios CONADE</v>
          </cell>
        </row>
        <row r="35">
          <cell r="A35">
            <v>173</v>
          </cell>
          <cell r="B35" t="str">
            <v>Reintegro con Ingresos Propios Conv. Salud (Ramo 12)</v>
          </cell>
        </row>
        <row r="36">
          <cell r="A36">
            <v>174</v>
          </cell>
          <cell r="B36" t="str">
            <v>Reintegro con Ingresos Propios Secretaría de Economía</v>
          </cell>
        </row>
        <row r="37">
          <cell r="A37">
            <v>177</v>
          </cell>
          <cell r="B37" t="str">
            <v>Reintegro con Ingresos Propios SUBSEMUN</v>
          </cell>
        </row>
        <row r="38">
          <cell r="A38">
            <v>178</v>
          </cell>
          <cell r="B38" t="str">
            <v>Reintegro con Ingresos Propios Fondo Para La Infraest. de los Estados</v>
          </cell>
        </row>
        <row r="39">
          <cell r="A39">
            <v>179</v>
          </cell>
          <cell r="B39" t="str">
            <v>Reintegro con Ingresos Propios Apoyo Financiero Ext. UABCS</v>
          </cell>
        </row>
        <row r="40">
          <cell r="A40">
            <v>180</v>
          </cell>
          <cell r="B40" t="str">
            <v>Reintegro con Ingresos Propios Apoyo Financiero Ext. ISIFE</v>
          </cell>
        </row>
        <row r="41">
          <cell r="A41">
            <v>181</v>
          </cell>
          <cell r="B41" t="str">
            <v>Reintegro con Ingresos Propios Subs. Policía Estatal Acreditable (SPA)</v>
          </cell>
        </row>
        <row r="42">
          <cell r="A42">
            <v>182</v>
          </cell>
          <cell r="B42" t="str">
            <v>Reintegro con Ingresos Propios PROASP</v>
          </cell>
        </row>
        <row r="43">
          <cell r="A43">
            <v>183</v>
          </cell>
          <cell r="B43" t="str">
            <v>Reintegro con Ingresos Propios Ingresos Extraordinarios</v>
          </cell>
        </row>
        <row r="44">
          <cell r="A44">
            <v>184</v>
          </cell>
          <cell r="B44" t="str">
            <v>Reintegro con Ingresos Propios Ingresos Derivados del 5 Al Millar (Obra)</v>
          </cell>
        </row>
        <row r="45">
          <cell r="A45">
            <v>185</v>
          </cell>
          <cell r="B45" t="str">
            <v>Reintegro con Ingresos Propios Ingresos Extraordinarios Ramo 23</v>
          </cell>
        </row>
        <row r="46">
          <cell r="A46">
            <v>186</v>
          </cell>
          <cell r="B46" t="str">
            <v>Reintegro con Ingresos Propios Ingresos Extraordinarios Ramo 21</v>
          </cell>
        </row>
        <row r="47">
          <cell r="A47">
            <v>187</v>
          </cell>
          <cell r="B47" t="str">
            <v>Reintegro con Ingresos Propios Ingresos Extraordinarios Sep. Ramo 11</v>
          </cell>
        </row>
        <row r="48">
          <cell r="A48">
            <v>188</v>
          </cell>
          <cell r="B48" t="str">
            <v>Reintegro con Ingresos Propios Ingresos Ext. Ramo 09 (SCT)</v>
          </cell>
        </row>
        <row r="49">
          <cell r="A49">
            <v>189</v>
          </cell>
          <cell r="B49" t="str">
            <v>Reintegro con Ingresos Propios Ingresos Ext. Ramo 16 (SEMARNAT)</v>
          </cell>
        </row>
        <row r="50">
          <cell r="A50">
            <v>201</v>
          </cell>
          <cell r="B50" t="str">
            <v>BONO CUPÓN CERO</v>
          </cell>
        </row>
        <row r="51">
          <cell r="A51">
            <v>500</v>
          </cell>
          <cell r="B51" t="str">
            <v>RECURSOS FEDERALES</v>
          </cell>
        </row>
        <row r="52">
          <cell r="A52">
            <v>530</v>
          </cell>
          <cell r="B52" t="str">
            <v>PARTICIPACIONES Ramo 28</v>
          </cell>
        </row>
        <row r="53">
          <cell r="A53">
            <v>535</v>
          </cell>
          <cell r="B53" t="str">
            <v>INTERESES BANCARIOS PROYECTADOS, RECURSOS FEDERALES</v>
          </cell>
        </row>
        <row r="54">
          <cell r="A54">
            <v>536</v>
          </cell>
          <cell r="B54" t="str">
            <v>FONE Ramo 33</v>
          </cell>
        </row>
        <row r="55">
          <cell r="A55">
            <v>537</v>
          </cell>
          <cell r="B55" t="str">
            <v>FASSA Ramo 33</v>
          </cell>
        </row>
        <row r="56">
          <cell r="A56">
            <v>538</v>
          </cell>
          <cell r="B56" t="str">
            <v>FAIS/FISE Ramo 33</v>
          </cell>
        </row>
        <row r="57">
          <cell r="A57">
            <v>539</v>
          </cell>
          <cell r="B57" t="str">
            <v>FAIS/FISM Ramo 33</v>
          </cell>
        </row>
        <row r="58">
          <cell r="A58">
            <v>540</v>
          </cell>
          <cell r="B58" t="str">
            <v>FORTAMUN Ramo 33</v>
          </cell>
        </row>
        <row r="59">
          <cell r="A59">
            <v>541</v>
          </cell>
          <cell r="B59" t="str">
            <v>FAM/ASISTENCIA SOCIAL Ramo 33</v>
          </cell>
        </row>
        <row r="60">
          <cell r="A60">
            <v>542</v>
          </cell>
          <cell r="B60" t="str">
            <v>FAM/INFRAESTRUCTURA DE EDUCACIÓN BÁSICA Ramo 33</v>
          </cell>
        </row>
        <row r="61">
          <cell r="A61">
            <v>543</v>
          </cell>
          <cell r="B61" t="str">
            <v>FAM/EDUCACIÓN MEDIA SUPERIOR Y SUPERIOR Ramo 33</v>
          </cell>
        </row>
        <row r="62">
          <cell r="A62">
            <v>545</v>
          </cell>
          <cell r="B62" t="str">
            <v>FAETA/EDUCACIÓN TECNOLÓGICA ( CONALEP) Ramo 33</v>
          </cell>
        </row>
        <row r="63">
          <cell r="A63">
            <v>546</v>
          </cell>
          <cell r="B63" t="str">
            <v>FAETA/EDUCACIÓN ADULTOS (IEEA) Ramo 33</v>
          </cell>
        </row>
        <row r="64">
          <cell r="A64">
            <v>547</v>
          </cell>
          <cell r="B64" t="str">
            <v>FASP Ramo 33</v>
          </cell>
        </row>
        <row r="65">
          <cell r="A65">
            <v>548</v>
          </cell>
          <cell r="B65" t="str">
            <v>FAFEF Ramo 33</v>
          </cell>
        </row>
        <row r="66">
          <cell r="A66">
            <v>549</v>
          </cell>
          <cell r="B66" t="str">
            <v>SRIA. DE DES. AGRARIO TERRITORIAL Y URBANO (SEDATU) Ramo 15</v>
          </cell>
        </row>
        <row r="67">
          <cell r="A67">
            <v>561</v>
          </cell>
          <cell r="B67" t="str">
            <v>CULTURA FEDERAL Ramo 48</v>
          </cell>
        </row>
        <row r="68">
          <cell r="A68">
            <v>562</v>
          </cell>
          <cell r="B68" t="str">
            <v>UNIVERSIDAD AUTÓNOMA DE B.C.S. Ramo 11</v>
          </cell>
        </row>
        <row r="69">
          <cell r="A69">
            <v>563</v>
          </cell>
          <cell r="B69" t="str">
            <v>CONAGUA Ramo 16</v>
          </cell>
        </row>
        <row r="70">
          <cell r="A70">
            <v>564</v>
          </cell>
          <cell r="B70" t="str">
            <v>SECRETARÍA DE GOBERNACIÓN Ramo 04</v>
          </cell>
        </row>
        <row r="71">
          <cell r="A71">
            <v>565</v>
          </cell>
          <cell r="B71" t="str">
            <v>SECRETARÍA DE TURISMO Ramo 21</v>
          </cell>
        </row>
        <row r="72">
          <cell r="A72">
            <v>566</v>
          </cell>
          <cell r="B72" t="str">
            <v>PROFIS</v>
          </cell>
        </row>
        <row r="73">
          <cell r="A73">
            <v>567</v>
          </cell>
          <cell r="B73" t="str">
            <v>SECRETARÍA DE SEGURIDAD PÚBLICA</v>
          </cell>
        </row>
        <row r="74">
          <cell r="A74">
            <v>568</v>
          </cell>
          <cell r="B74" t="str">
            <v>COBACH Ramo 11</v>
          </cell>
        </row>
        <row r="75">
          <cell r="A75">
            <v>569</v>
          </cell>
          <cell r="B75" t="str">
            <v>FONDO PROPORCIONAL PESO A PESO</v>
          </cell>
        </row>
        <row r="76">
          <cell r="A76">
            <v>570</v>
          </cell>
          <cell r="B76" t="str">
            <v>CECYTE Ramo 11</v>
          </cell>
        </row>
        <row r="77">
          <cell r="A77">
            <v>571</v>
          </cell>
          <cell r="B77" t="str">
            <v>IMPLEMENTACIÓN DE LA REFORMA PENAL (SETEC)</v>
          </cell>
        </row>
        <row r="78">
          <cell r="A78">
            <v>572</v>
          </cell>
          <cell r="B78" t="str">
            <v>CONADE Ramo 11</v>
          </cell>
        </row>
        <row r="79">
          <cell r="A79">
            <v>573</v>
          </cell>
          <cell r="B79" t="str">
            <v>CONVENIOS Ramo 12</v>
          </cell>
        </row>
        <row r="80">
          <cell r="A80">
            <v>574</v>
          </cell>
          <cell r="B80" t="str">
            <v>SECRETARÍA DE ECONOMÍA Ramo 10</v>
          </cell>
        </row>
        <row r="81">
          <cell r="A81">
            <v>577</v>
          </cell>
          <cell r="B81" t="str">
            <v>SUBSIDIO SEGURIDAD PÚBLICA MUNICIPAL</v>
          </cell>
        </row>
        <row r="82">
          <cell r="A82">
            <v>578</v>
          </cell>
          <cell r="B82" t="str">
            <v>FIDEICOMISO PARA LA INFRAESTRUCTURA DE LOS ESTADOS Ramo 23</v>
          </cell>
        </row>
        <row r="83">
          <cell r="A83">
            <v>579</v>
          </cell>
          <cell r="B83" t="str">
            <v>APOYO FINANCIERO EXTRAORDINARIO UABCS Ramo 11</v>
          </cell>
        </row>
        <row r="84">
          <cell r="A84">
            <v>580</v>
          </cell>
          <cell r="B84" t="str">
            <v>APOYO FINANCIERO EXTRAORDINARIO ISIFE Ramo 11</v>
          </cell>
        </row>
        <row r="85">
          <cell r="A85">
            <v>581</v>
          </cell>
          <cell r="B85" t="str">
            <v>SUBSIDIO POLICÍA ESTATAL ACREDITABLE (SPA)</v>
          </cell>
        </row>
        <row r="86">
          <cell r="A86">
            <v>582</v>
          </cell>
          <cell r="B86" t="str">
            <v>PROASP PROG. DE ALCANCE NAL. EN MAT. DE SEG. PUB. Ramo 04</v>
          </cell>
        </row>
        <row r="87">
          <cell r="A87">
            <v>583</v>
          </cell>
          <cell r="B87" t="str">
            <v>INGRESOS EXTRAORDINARIOS</v>
          </cell>
        </row>
        <row r="88">
          <cell r="A88">
            <v>584</v>
          </cell>
          <cell r="B88" t="str">
            <v>INGRESOS DERIVADOS DEL 5 AL MILLAR (OBRA)</v>
          </cell>
        </row>
        <row r="89">
          <cell r="A89">
            <v>585</v>
          </cell>
          <cell r="B89" t="str">
            <v>INGRESOS EXT Ramo 23 ( Provisiones Salariales y Económicas )</v>
          </cell>
        </row>
        <row r="90">
          <cell r="A90">
            <v>586</v>
          </cell>
          <cell r="B90" t="str">
            <v>INGRESOS EXT Ramo 21 (TURISMO)</v>
          </cell>
        </row>
        <row r="91">
          <cell r="A91">
            <v>587</v>
          </cell>
          <cell r="B91" t="str">
            <v>INGRESOS EXT Ramo 11 (SEP)</v>
          </cell>
        </row>
        <row r="92">
          <cell r="A92">
            <v>588</v>
          </cell>
          <cell r="B92" t="str">
            <v>INGRESOS EXT Ramo 09 (SCT)</v>
          </cell>
        </row>
        <row r="93">
          <cell r="A93">
            <v>589</v>
          </cell>
          <cell r="B93" t="str">
            <v>INGRESOS EXT Ramo 16 (SEMARNAT)</v>
          </cell>
        </row>
        <row r="94">
          <cell r="A94">
            <v>590</v>
          </cell>
          <cell r="B94" t="str">
            <v>INGRESOS EXT FORTASEG Ramo 04 (GOBERNACIÓN)</v>
          </cell>
        </row>
        <row r="95">
          <cell r="A95">
            <v>591</v>
          </cell>
          <cell r="B95" t="str">
            <v>INGRESOS EXT Ramo 20 (BIENESTAR)</v>
          </cell>
        </row>
        <row r="96">
          <cell r="A96">
            <v>598</v>
          </cell>
          <cell r="B96" t="str">
            <v>REMANENTE FONE 2016</v>
          </cell>
        </row>
        <row r="97">
          <cell r="A97">
            <v>599</v>
          </cell>
          <cell r="B97" t="str">
            <v>REMANENTE FONE 2015</v>
          </cell>
        </row>
        <row r="98">
          <cell r="A98">
            <v>700</v>
          </cell>
          <cell r="B98" t="str">
            <v>OTROS RECURSOS</v>
          </cell>
        </row>
        <row r="99">
          <cell r="A99">
            <v>736</v>
          </cell>
          <cell r="B99" t="str">
            <v>RENDIMIENTOS FONE</v>
          </cell>
        </row>
        <row r="100">
          <cell r="A100">
            <v>737</v>
          </cell>
          <cell r="B100" t="str">
            <v>RENDIMIENTOS FAM</v>
          </cell>
        </row>
        <row r="101">
          <cell r="A101">
            <v>747</v>
          </cell>
          <cell r="B101" t="str">
            <v>RENDIMIENTOS FASP</v>
          </cell>
        </row>
        <row r="102">
          <cell r="A102">
            <v>783</v>
          </cell>
          <cell r="B102" t="str">
            <v>INGRESOS EXTRAORDINARIOS (OTROS)</v>
          </cell>
        </row>
      </sheetData>
      <sheetData sheetId="7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AS"/>
      <sheetName val="CAPITULO"/>
      <sheetName val="PARTIDA"/>
      <sheetName val="COG"/>
      <sheetName val="FF"/>
      <sheetName val="PROCED"/>
    </sheetNames>
    <sheetDataSet>
      <sheetData sheetId="0"/>
      <sheetData sheetId="1"/>
      <sheetData sheetId="2">
        <row r="2">
          <cell r="H2" t="str">
            <v>MATERIALES</v>
          </cell>
        </row>
        <row r="3">
          <cell r="H3" t="str">
            <v>SERVICIOS</v>
          </cell>
        </row>
        <row r="4">
          <cell r="H4" t="str">
            <v>BIENES</v>
          </cell>
        </row>
      </sheetData>
      <sheetData sheetId="3"/>
      <sheetData sheetId="4"/>
      <sheetData sheetId="5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AS"/>
      <sheetName val="CAPITULO"/>
      <sheetName val="PARTIDA"/>
      <sheetName val="COG"/>
      <sheetName val="FF"/>
      <sheetName val="PROCED"/>
    </sheetNames>
    <sheetDataSet>
      <sheetData sheetId="0"/>
      <sheetData sheetId="1"/>
      <sheetData sheetId="2">
        <row r="2">
          <cell r="H2" t="str">
            <v>MATERIALES</v>
          </cell>
        </row>
        <row r="3">
          <cell r="H3" t="str">
            <v>SERVICIOS</v>
          </cell>
        </row>
        <row r="4">
          <cell r="H4" t="str">
            <v>BIENES</v>
          </cell>
        </row>
      </sheetData>
      <sheetData sheetId="3">
        <row r="1">
          <cell r="A1" t="str">
            <v>CUENTA</v>
          </cell>
          <cell r="B1" t="str">
            <v>CONCEPTO</v>
          </cell>
          <cell r="C1" t="str">
            <v>AFECTABLE/ NO
AFECTABLE</v>
          </cell>
        </row>
        <row r="2">
          <cell r="A2">
            <v>210000</v>
          </cell>
          <cell r="B2" t="str">
            <v>MATERIALES DE ADMINISTRACIÓN, EMISIÓN DE DOCUMENTOS Y ARTÍCULO OFICIALES</v>
          </cell>
          <cell r="C2" t="str">
            <v>N</v>
          </cell>
        </row>
        <row r="3">
          <cell r="A3">
            <v>211000</v>
          </cell>
          <cell r="B3" t="str">
            <v>Materiales, útiles y equipos menores de oficina</v>
          </cell>
          <cell r="C3" t="str">
            <v>N</v>
          </cell>
        </row>
        <row r="4">
          <cell r="A4">
            <v>211001</v>
          </cell>
          <cell r="B4" t="str">
            <v>Material de oficina</v>
          </cell>
          <cell r="C4" t="str">
            <v>S</v>
          </cell>
        </row>
        <row r="5">
          <cell r="A5">
            <v>212000</v>
          </cell>
          <cell r="B5" t="str">
            <v>Materiales y útiles de impresión y reproducción</v>
          </cell>
          <cell r="C5" t="str">
            <v>N</v>
          </cell>
        </row>
        <row r="6">
          <cell r="A6">
            <v>212001</v>
          </cell>
          <cell r="B6" t="str">
            <v>Material y útiles de impresión</v>
          </cell>
          <cell r="C6" t="str">
            <v>S</v>
          </cell>
        </row>
        <row r="7">
          <cell r="A7">
            <v>213000</v>
          </cell>
          <cell r="B7" t="str">
            <v>Material estadístico y geográfico</v>
          </cell>
          <cell r="C7" t="str">
            <v>N</v>
          </cell>
        </row>
        <row r="8">
          <cell r="A8">
            <v>213001</v>
          </cell>
          <cell r="B8" t="str">
            <v>Material estadístico y geográfico</v>
          </cell>
          <cell r="C8" t="str">
            <v>S</v>
          </cell>
        </row>
        <row r="9">
          <cell r="A9">
            <v>214000</v>
          </cell>
          <cell r="B9" t="str">
            <v>Materiales, útiles y equipos menores de tecnologías de la información y comunicaciones</v>
          </cell>
          <cell r="C9" t="str">
            <v>N</v>
          </cell>
        </row>
        <row r="10">
          <cell r="A10">
            <v>214001</v>
          </cell>
          <cell r="B10" t="str">
            <v>Materiales, útiles y equipos menores de tecnologías de la información y comunicaciones</v>
          </cell>
          <cell r="C10" t="str">
            <v>S</v>
          </cell>
        </row>
        <row r="11">
          <cell r="A11">
            <v>215000</v>
          </cell>
          <cell r="B11" t="str">
            <v>Material impreso e información digital</v>
          </cell>
          <cell r="C11" t="str">
            <v>N</v>
          </cell>
        </row>
        <row r="12">
          <cell r="A12">
            <v>215001</v>
          </cell>
          <cell r="B12" t="str">
            <v>Material didáctico</v>
          </cell>
          <cell r="C12" t="str">
            <v>S</v>
          </cell>
        </row>
        <row r="13">
          <cell r="A13">
            <v>215002</v>
          </cell>
          <cell r="B13" t="str">
            <v>Suscripciones a Periódicos, Revistas y Publicaciones Especializadas</v>
          </cell>
          <cell r="C13" t="str">
            <v>S</v>
          </cell>
        </row>
        <row r="14">
          <cell r="A14">
            <v>215003</v>
          </cell>
          <cell r="B14" t="str">
            <v>Material impreso e información digital</v>
          </cell>
          <cell r="C14" t="str">
            <v>S</v>
          </cell>
        </row>
        <row r="15">
          <cell r="A15">
            <v>216000</v>
          </cell>
          <cell r="B15" t="str">
            <v>Material de limpieza</v>
          </cell>
          <cell r="C15" t="str">
            <v>N</v>
          </cell>
        </row>
        <row r="16">
          <cell r="A16">
            <v>216001</v>
          </cell>
          <cell r="B16" t="str">
            <v>Material de limpieza</v>
          </cell>
          <cell r="C16" t="str">
            <v>S</v>
          </cell>
        </row>
        <row r="17">
          <cell r="A17">
            <v>217000</v>
          </cell>
          <cell r="B17" t="str">
            <v>Materiales y útiles de enseñanza</v>
          </cell>
          <cell r="C17" t="str">
            <v>N</v>
          </cell>
        </row>
        <row r="18">
          <cell r="A18">
            <v>217001</v>
          </cell>
          <cell r="B18" t="str">
            <v>Materiales y útiles de enseñanza</v>
          </cell>
          <cell r="C18" t="str">
            <v>S</v>
          </cell>
        </row>
        <row r="19">
          <cell r="A19">
            <v>218000</v>
          </cell>
          <cell r="B19" t="str">
            <v>Materiales para el registro e identificación de bienes y personas</v>
          </cell>
          <cell r="C19" t="str">
            <v>N</v>
          </cell>
        </row>
        <row r="20">
          <cell r="A20">
            <v>218001</v>
          </cell>
          <cell r="B20" t="str">
            <v>Materiales para el registro e identificación de bienes y personas</v>
          </cell>
          <cell r="C20" t="str">
            <v>S</v>
          </cell>
        </row>
        <row r="21">
          <cell r="A21">
            <v>218002</v>
          </cell>
          <cell r="B21" t="str">
            <v>Placas, Engomados, Calcomanías y Hologramas</v>
          </cell>
          <cell r="C21" t="str">
            <v>S</v>
          </cell>
        </row>
        <row r="22">
          <cell r="A22">
            <v>218003</v>
          </cell>
          <cell r="B22" t="str">
            <v>Emisión de Licencias de Conducir</v>
          </cell>
          <cell r="C22" t="str">
            <v>S</v>
          </cell>
        </row>
        <row r="23">
          <cell r="A23">
            <v>218004</v>
          </cell>
          <cell r="B23" t="str">
            <v>Emisión de Formatos Únicos de Control Vehicular</v>
          </cell>
          <cell r="C23" t="str">
            <v>S</v>
          </cell>
        </row>
        <row r="24">
          <cell r="A24">
            <v>220000</v>
          </cell>
          <cell r="B24" t="str">
            <v>ALIMENTOS Y UTENSILIOS</v>
          </cell>
          <cell r="C24" t="str">
            <v>N</v>
          </cell>
        </row>
        <row r="25">
          <cell r="A25">
            <v>221000</v>
          </cell>
          <cell r="B25" t="str">
            <v>Productos alimenticios para personas</v>
          </cell>
          <cell r="C25" t="str">
            <v>N</v>
          </cell>
        </row>
        <row r="26">
          <cell r="A26">
            <v>221001</v>
          </cell>
          <cell r="B26" t="str">
            <v>Alimentación de personas</v>
          </cell>
          <cell r="C26" t="str">
            <v>S</v>
          </cell>
        </row>
        <row r="27">
          <cell r="A27">
            <v>222000</v>
          </cell>
          <cell r="B27" t="str">
            <v>Productos alimenticios para animales</v>
          </cell>
          <cell r="C27" t="str">
            <v>N</v>
          </cell>
        </row>
        <row r="28">
          <cell r="A28">
            <v>222001</v>
          </cell>
          <cell r="B28" t="str">
            <v>Alimentación de animales</v>
          </cell>
          <cell r="C28" t="str">
            <v>S</v>
          </cell>
        </row>
        <row r="29">
          <cell r="A29">
            <v>223000</v>
          </cell>
          <cell r="B29" t="str">
            <v>Utensilios para el servicio de alimentación</v>
          </cell>
          <cell r="C29" t="str">
            <v>N</v>
          </cell>
        </row>
        <row r="30">
          <cell r="A30">
            <v>223001</v>
          </cell>
          <cell r="B30" t="str">
            <v>Utensilios para el servicio de alimentación</v>
          </cell>
          <cell r="C30" t="str">
            <v>S</v>
          </cell>
        </row>
        <row r="31">
          <cell r="A31">
            <v>230000</v>
          </cell>
          <cell r="B31" t="str">
            <v>MATERIAS PRIMAS Y MATERIALES DE PRODUCCIÓN Y COMERCIALIZACIÓN</v>
          </cell>
          <cell r="C31" t="str">
            <v>N</v>
          </cell>
        </row>
        <row r="32">
          <cell r="A32">
            <v>231000</v>
          </cell>
          <cell r="B32" t="str">
            <v>Productos alimenticios, agropecuarios y forestales adquiridos como materia prima</v>
          </cell>
          <cell r="C32" t="str">
            <v>N</v>
          </cell>
        </row>
        <row r="33">
          <cell r="A33">
            <v>231001</v>
          </cell>
          <cell r="B33" t="str">
            <v>Materias primas para producción</v>
          </cell>
          <cell r="C33" t="str">
            <v>S</v>
          </cell>
        </row>
        <row r="34">
          <cell r="A34">
            <v>232000</v>
          </cell>
          <cell r="B34" t="str">
            <v>Insumos textiles adquiridos como materia prima</v>
          </cell>
          <cell r="C34" t="str">
            <v>N</v>
          </cell>
        </row>
        <row r="35">
          <cell r="A35">
            <v>232001</v>
          </cell>
          <cell r="B35" t="str">
            <v>Insumos textiles adquiridos como materia prima</v>
          </cell>
          <cell r="C35" t="str">
            <v>S</v>
          </cell>
        </row>
        <row r="36">
          <cell r="A36">
            <v>233000</v>
          </cell>
          <cell r="B36" t="str">
            <v>Productos de papel, cartón e impresos adquiridos como materia prima</v>
          </cell>
          <cell r="C36" t="str">
            <v>N</v>
          </cell>
        </row>
        <row r="37">
          <cell r="A37">
            <v>233001</v>
          </cell>
          <cell r="B37" t="str">
            <v>Productos de papel, cartón e impresos adquiridos como materia prima</v>
          </cell>
          <cell r="C37" t="str">
            <v>S</v>
          </cell>
        </row>
        <row r="38">
          <cell r="A38">
            <v>234000</v>
          </cell>
          <cell r="B38" t="str">
            <v>Combustibles, lubricantes, aditivos, carbón y sus derivados adquiridos como materia prima</v>
          </cell>
          <cell r="C38" t="str">
            <v>N</v>
          </cell>
        </row>
        <row r="39">
          <cell r="A39">
            <v>234001</v>
          </cell>
          <cell r="B39" t="str">
            <v>Combustibles, lubricantes, aditivos, carbón y sus derivados adquiridos como materia prima</v>
          </cell>
          <cell r="C39" t="str">
            <v>S</v>
          </cell>
        </row>
        <row r="40">
          <cell r="A40">
            <v>235000</v>
          </cell>
          <cell r="B40" t="str">
            <v>Productos químicos, farmacéuticos y de laboratorio adquiridos como materia prima</v>
          </cell>
          <cell r="C40" t="str">
            <v>N</v>
          </cell>
        </row>
        <row r="41">
          <cell r="A41">
            <v>235001</v>
          </cell>
          <cell r="B41" t="str">
            <v>Productos químicos, farmacéuticos y de laboratorio adquiridos como materia prima</v>
          </cell>
          <cell r="C41" t="str">
            <v>S</v>
          </cell>
        </row>
        <row r="42">
          <cell r="A42">
            <v>236000</v>
          </cell>
          <cell r="B42" t="str">
            <v>Productos metálicos y a base de minerales no metálicos adquiridos como materia prima</v>
          </cell>
          <cell r="C42" t="str">
            <v>N</v>
          </cell>
        </row>
        <row r="43">
          <cell r="A43">
            <v>236001</v>
          </cell>
          <cell r="B43" t="str">
            <v>Productos metálicos y a base de minerales no metálicos adquiridos como materia prima</v>
          </cell>
          <cell r="C43" t="str">
            <v>S</v>
          </cell>
        </row>
        <row r="44">
          <cell r="A44">
            <v>237000</v>
          </cell>
          <cell r="B44" t="str">
            <v>Productos de cuero, piel, plástico y hule adquiridos como materia prima</v>
          </cell>
          <cell r="C44" t="str">
            <v>N</v>
          </cell>
        </row>
        <row r="45">
          <cell r="A45">
            <v>237001</v>
          </cell>
          <cell r="B45" t="str">
            <v>Productos de cuero, piel, plástico y hule adquiridos como materia prima</v>
          </cell>
          <cell r="C45" t="str">
            <v>S</v>
          </cell>
        </row>
        <row r="46">
          <cell r="A46">
            <v>238000</v>
          </cell>
          <cell r="B46" t="str">
            <v>Mercancías adquiridas para su comercialización</v>
          </cell>
          <cell r="C46" t="str">
            <v>N</v>
          </cell>
        </row>
        <row r="47">
          <cell r="A47">
            <v>238001</v>
          </cell>
          <cell r="B47" t="str">
            <v>Mercancías adquiridas para su comercialización</v>
          </cell>
          <cell r="C47" t="str">
            <v>S</v>
          </cell>
        </row>
        <row r="48">
          <cell r="A48">
            <v>240000</v>
          </cell>
          <cell r="B48" t="str">
            <v>MATERIALES Y ARTÍCULOS DE CONSTRUCCIÓN Y DE REPARACIÓN</v>
          </cell>
          <cell r="C48" t="str">
            <v>N</v>
          </cell>
        </row>
        <row r="49">
          <cell r="A49">
            <v>241000</v>
          </cell>
          <cell r="B49" t="str">
            <v>Productos minerales no metálicos</v>
          </cell>
          <cell r="C49" t="str">
            <v>N</v>
          </cell>
        </row>
        <row r="50">
          <cell r="A50">
            <v>241001</v>
          </cell>
          <cell r="B50" t="str">
            <v>Productos minerales no metálicos</v>
          </cell>
          <cell r="C50" t="str">
            <v>S</v>
          </cell>
        </row>
        <row r="51">
          <cell r="A51">
            <v>242000</v>
          </cell>
          <cell r="B51" t="str">
            <v>Cemento y productos de concreto</v>
          </cell>
          <cell r="C51" t="str">
            <v>N</v>
          </cell>
        </row>
        <row r="52">
          <cell r="A52">
            <v>242001</v>
          </cell>
          <cell r="B52" t="str">
            <v>Cemento y productos de concreto</v>
          </cell>
          <cell r="C52" t="str">
            <v>S</v>
          </cell>
        </row>
        <row r="53">
          <cell r="A53">
            <v>243000</v>
          </cell>
          <cell r="B53" t="str">
            <v>Cal, yeso y productos de yeso</v>
          </cell>
          <cell r="C53" t="str">
            <v>N</v>
          </cell>
        </row>
        <row r="54">
          <cell r="A54">
            <v>243001</v>
          </cell>
          <cell r="B54" t="str">
            <v>Cal, yeso y productos de yeso</v>
          </cell>
          <cell r="C54" t="str">
            <v>S</v>
          </cell>
        </row>
        <row r="55">
          <cell r="A55">
            <v>244000</v>
          </cell>
          <cell r="B55" t="str">
            <v>Madera y productos de madera</v>
          </cell>
          <cell r="C55" t="str">
            <v>N</v>
          </cell>
        </row>
        <row r="56">
          <cell r="A56">
            <v>244001</v>
          </cell>
          <cell r="B56" t="str">
            <v>Madera y productos de madera</v>
          </cell>
          <cell r="C56" t="str">
            <v>S</v>
          </cell>
        </row>
        <row r="57">
          <cell r="A57">
            <v>245000</v>
          </cell>
          <cell r="B57" t="str">
            <v>Vidrio y productos de vidrio</v>
          </cell>
          <cell r="C57" t="str">
            <v>N</v>
          </cell>
        </row>
        <row r="58">
          <cell r="A58">
            <v>245001</v>
          </cell>
          <cell r="B58" t="str">
            <v>Vidrio y productos de vidrio</v>
          </cell>
          <cell r="C58" t="str">
            <v>S</v>
          </cell>
        </row>
        <row r="59">
          <cell r="A59">
            <v>246000</v>
          </cell>
          <cell r="B59" t="str">
            <v>Material eléctrico y electrónico</v>
          </cell>
          <cell r="C59" t="str">
            <v>N</v>
          </cell>
        </row>
        <row r="60">
          <cell r="A60">
            <v>246001</v>
          </cell>
          <cell r="B60" t="str">
            <v>Material eléctrico</v>
          </cell>
          <cell r="C60" t="str">
            <v>S</v>
          </cell>
        </row>
        <row r="61">
          <cell r="A61">
            <v>246002</v>
          </cell>
          <cell r="B61" t="str">
            <v>Material electrónico</v>
          </cell>
          <cell r="C61" t="str">
            <v>S</v>
          </cell>
        </row>
        <row r="62">
          <cell r="A62">
            <v>247000</v>
          </cell>
          <cell r="B62" t="str">
            <v>Artículos metálicos para la construcción</v>
          </cell>
          <cell r="C62" t="str">
            <v>N</v>
          </cell>
        </row>
        <row r="63">
          <cell r="A63">
            <v>247001</v>
          </cell>
          <cell r="B63" t="str">
            <v>Artículos metálicos para la construcción</v>
          </cell>
          <cell r="C63" t="str">
            <v>S</v>
          </cell>
        </row>
        <row r="64">
          <cell r="A64">
            <v>248000</v>
          </cell>
          <cell r="B64" t="str">
            <v>Materiales complementarios</v>
          </cell>
          <cell r="C64" t="str">
            <v>N</v>
          </cell>
        </row>
        <row r="65">
          <cell r="A65">
            <v>248001</v>
          </cell>
          <cell r="B65" t="str">
            <v>Materiales complementarios</v>
          </cell>
          <cell r="C65" t="str">
            <v>S</v>
          </cell>
        </row>
        <row r="66">
          <cell r="A66">
            <v>249000</v>
          </cell>
          <cell r="B66" t="str">
            <v>Otros materiales y artículos de construcción y reparación</v>
          </cell>
          <cell r="C66" t="str">
            <v>N</v>
          </cell>
        </row>
        <row r="67">
          <cell r="A67">
            <v>249001</v>
          </cell>
          <cell r="B67" t="str">
            <v>Materiales de construcción y complementarios</v>
          </cell>
          <cell r="C67" t="str">
            <v>S</v>
          </cell>
        </row>
        <row r="68">
          <cell r="A68">
            <v>249002</v>
          </cell>
          <cell r="B68" t="str">
            <v>Otros materiales de construcción y reparación</v>
          </cell>
          <cell r="C68" t="str">
            <v>S</v>
          </cell>
        </row>
        <row r="69">
          <cell r="A69">
            <v>250000</v>
          </cell>
          <cell r="B69" t="str">
            <v>PRODUCTOS QUÍMICOS, FARMACÉUTICOS Y DE LABORATORIO</v>
          </cell>
          <cell r="C69" t="str">
            <v>N</v>
          </cell>
        </row>
        <row r="70">
          <cell r="A70">
            <v>251000</v>
          </cell>
          <cell r="B70" t="str">
            <v>Productos químicos básicos</v>
          </cell>
          <cell r="C70" t="str">
            <v>N</v>
          </cell>
        </row>
        <row r="71">
          <cell r="A71">
            <v>251001</v>
          </cell>
          <cell r="B71" t="str">
            <v>Gas Refrigerante</v>
          </cell>
          <cell r="C71" t="str">
            <v>S</v>
          </cell>
        </row>
        <row r="72">
          <cell r="A72">
            <v>252000</v>
          </cell>
          <cell r="B72" t="str">
            <v>Fertilizantes, pesticidas y otros agroquímicos</v>
          </cell>
          <cell r="C72" t="str">
            <v>N</v>
          </cell>
        </row>
        <row r="73">
          <cell r="A73">
            <v>252001</v>
          </cell>
          <cell r="B73" t="str">
            <v>Fertilizantes, pesticidas y otros agroquímicos</v>
          </cell>
          <cell r="C73" t="str">
            <v>S</v>
          </cell>
        </row>
        <row r="74">
          <cell r="A74">
            <v>253000</v>
          </cell>
          <cell r="B74" t="str">
            <v>Medicinas y productos químicos, farmacéuticos</v>
          </cell>
          <cell r="C74" t="str">
            <v>N</v>
          </cell>
        </row>
        <row r="75">
          <cell r="A75">
            <v>253001</v>
          </cell>
          <cell r="B75" t="str">
            <v>Material y productos químicos, farmacéuticos</v>
          </cell>
          <cell r="C75" t="str">
            <v>S</v>
          </cell>
        </row>
        <row r="76">
          <cell r="A76">
            <v>254000</v>
          </cell>
          <cell r="B76" t="str">
            <v>Materiales, accesorios y suministros médicos</v>
          </cell>
          <cell r="C76" t="str">
            <v>N</v>
          </cell>
        </row>
        <row r="77">
          <cell r="A77">
            <v>254001</v>
          </cell>
          <cell r="B77" t="str">
            <v>Materiales, accesorios y suministros médicos</v>
          </cell>
          <cell r="C77" t="str">
            <v>S</v>
          </cell>
        </row>
        <row r="78">
          <cell r="A78">
            <v>255000</v>
          </cell>
          <cell r="B78" t="str">
            <v>Materiales, accesorios y suministros de laboratorio</v>
          </cell>
          <cell r="C78" t="str">
            <v>N</v>
          </cell>
        </row>
        <row r="79">
          <cell r="A79">
            <v>255001</v>
          </cell>
          <cell r="B79" t="str">
            <v>Materiales, accesorios y suministros de laboratorio</v>
          </cell>
          <cell r="C79" t="str">
            <v>S</v>
          </cell>
        </row>
        <row r="80">
          <cell r="A80">
            <v>256000</v>
          </cell>
          <cell r="B80" t="str">
            <v>Fibras sintéticas, hules, plásticos y derivados</v>
          </cell>
          <cell r="C80" t="str">
            <v>N</v>
          </cell>
        </row>
        <row r="81">
          <cell r="A81">
            <v>256001</v>
          </cell>
          <cell r="B81" t="str">
            <v>Fibras sintéticas, hules, plásticos y derivados</v>
          </cell>
          <cell r="C81" t="str">
            <v>S</v>
          </cell>
        </row>
        <row r="82">
          <cell r="A82">
            <v>259000</v>
          </cell>
          <cell r="B82" t="str">
            <v>Otros productos químicos</v>
          </cell>
          <cell r="C82" t="str">
            <v>N</v>
          </cell>
        </row>
        <row r="83">
          <cell r="A83">
            <v>259001</v>
          </cell>
          <cell r="B83" t="str">
            <v>Otros productos químicos</v>
          </cell>
          <cell r="C83" t="str">
            <v>S</v>
          </cell>
        </row>
        <row r="84">
          <cell r="A84">
            <v>260000</v>
          </cell>
          <cell r="B84" t="str">
            <v>COMBUSTIBLES, LUBRICANTES Y ADITIVOS</v>
          </cell>
          <cell r="C84" t="str">
            <v>N</v>
          </cell>
        </row>
        <row r="85">
          <cell r="A85">
            <v>261000</v>
          </cell>
          <cell r="B85" t="str">
            <v>Combustibles, lubricantes y aditivos</v>
          </cell>
          <cell r="C85" t="str">
            <v>N</v>
          </cell>
        </row>
        <row r="86">
          <cell r="A86">
            <v>261001</v>
          </cell>
          <cell r="B86" t="str">
            <v>Combustibles</v>
          </cell>
          <cell r="C86" t="str">
            <v>S</v>
          </cell>
        </row>
        <row r="87">
          <cell r="A87">
            <v>261002</v>
          </cell>
          <cell r="B87" t="str">
            <v>Lubricantes y aditivos</v>
          </cell>
          <cell r="C87" t="str">
            <v>S</v>
          </cell>
        </row>
        <row r="88">
          <cell r="A88">
            <v>262000</v>
          </cell>
          <cell r="B88" t="str">
            <v>Carbón y sus derivados</v>
          </cell>
          <cell r="C88" t="str">
            <v>N</v>
          </cell>
        </row>
        <row r="89">
          <cell r="A89">
            <v>262001</v>
          </cell>
          <cell r="B89" t="str">
            <v>Carbón y sus derivados</v>
          </cell>
          <cell r="C89" t="str">
            <v>S</v>
          </cell>
        </row>
        <row r="90">
          <cell r="A90">
            <v>270000</v>
          </cell>
          <cell r="B90" t="str">
            <v>VESTUARIO, BLANCOS, PRENDAS DE PROTECCIÓN Y ARTÍCULOS DEPORTIVOS</v>
          </cell>
          <cell r="C90" t="str">
            <v>N</v>
          </cell>
        </row>
        <row r="91">
          <cell r="A91">
            <v>271000</v>
          </cell>
          <cell r="B91" t="str">
            <v>Vestuario y uniformes</v>
          </cell>
          <cell r="C91" t="str">
            <v>N</v>
          </cell>
        </row>
        <row r="92">
          <cell r="A92">
            <v>271001</v>
          </cell>
          <cell r="B92" t="str">
            <v>Ropa, vestuario y equipo</v>
          </cell>
          <cell r="C92" t="str">
            <v>S</v>
          </cell>
        </row>
        <row r="93">
          <cell r="A93">
            <v>272000</v>
          </cell>
          <cell r="B93" t="str">
            <v>Prendas de seguridad y protección personal</v>
          </cell>
          <cell r="C93" t="str">
            <v>N</v>
          </cell>
        </row>
        <row r="94">
          <cell r="A94">
            <v>272001</v>
          </cell>
          <cell r="B94" t="str">
            <v>Materiales explosivos y de seguridad pública</v>
          </cell>
          <cell r="C94" t="str">
            <v>S</v>
          </cell>
        </row>
        <row r="95">
          <cell r="A95">
            <v>272002</v>
          </cell>
          <cell r="B95" t="str">
            <v>Prendas de seguridad y protección personal</v>
          </cell>
          <cell r="C95" t="str">
            <v>S</v>
          </cell>
        </row>
        <row r="96">
          <cell r="A96">
            <v>273000</v>
          </cell>
          <cell r="B96" t="str">
            <v>Artículos deportivos</v>
          </cell>
          <cell r="C96" t="str">
            <v>N</v>
          </cell>
        </row>
        <row r="97">
          <cell r="A97">
            <v>273001</v>
          </cell>
          <cell r="B97" t="str">
            <v>Artículos deportivos</v>
          </cell>
          <cell r="C97" t="str">
            <v>S</v>
          </cell>
        </row>
        <row r="98">
          <cell r="A98">
            <v>274000</v>
          </cell>
          <cell r="B98" t="str">
            <v>Productos textiles</v>
          </cell>
          <cell r="C98" t="str">
            <v>N</v>
          </cell>
        </row>
        <row r="99">
          <cell r="A99">
            <v>274001</v>
          </cell>
          <cell r="B99" t="str">
            <v>Productos textiles</v>
          </cell>
          <cell r="C99" t="str">
            <v>S</v>
          </cell>
        </row>
        <row r="100">
          <cell r="A100">
            <v>275000</v>
          </cell>
          <cell r="B100" t="str">
            <v>Blancos y otros productos textiles, excepto prendas de vestir</v>
          </cell>
          <cell r="C100" t="str">
            <v>N</v>
          </cell>
        </row>
        <row r="101">
          <cell r="A101">
            <v>275001</v>
          </cell>
          <cell r="B101" t="str">
            <v>Blancos y otros productos textiles, excepto prendas de vestir</v>
          </cell>
          <cell r="C101" t="str">
            <v>S</v>
          </cell>
        </row>
        <row r="102">
          <cell r="A102">
            <v>280000</v>
          </cell>
          <cell r="B102" t="str">
            <v>MATERIALES Y SUMINISTROS PARA SEGURIDAD</v>
          </cell>
          <cell r="C102" t="str">
            <v>N</v>
          </cell>
        </row>
        <row r="103">
          <cell r="A103">
            <v>281000</v>
          </cell>
          <cell r="B103" t="str">
            <v>Sustancias y materiales explosivos</v>
          </cell>
          <cell r="C103" t="str">
            <v>N</v>
          </cell>
        </row>
        <row r="104">
          <cell r="A104">
            <v>281001</v>
          </cell>
          <cell r="B104" t="str">
            <v>Sustancias y materiales explosivos</v>
          </cell>
          <cell r="C104" t="str">
            <v>S</v>
          </cell>
        </row>
        <row r="105">
          <cell r="A105">
            <v>282000</v>
          </cell>
          <cell r="B105" t="str">
            <v>Materiales de seguridad pública</v>
          </cell>
          <cell r="C105" t="str">
            <v>N</v>
          </cell>
        </row>
        <row r="106">
          <cell r="A106">
            <v>282001</v>
          </cell>
          <cell r="B106" t="str">
            <v>Materiales de seguridad pública</v>
          </cell>
          <cell r="C106" t="str">
            <v>S</v>
          </cell>
        </row>
        <row r="107">
          <cell r="A107">
            <v>283000</v>
          </cell>
          <cell r="B107" t="str">
            <v>Prendas de protección para seguridad pública y nacional</v>
          </cell>
          <cell r="C107" t="str">
            <v>N</v>
          </cell>
        </row>
        <row r="108">
          <cell r="A108">
            <v>283001</v>
          </cell>
          <cell r="B108" t="str">
            <v>Prendas de protección para seguridad pública</v>
          </cell>
          <cell r="C108" t="str">
            <v>S</v>
          </cell>
        </row>
        <row r="109">
          <cell r="A109">
            <v>290000</v>
          </cell>
          <cell r="B109" t="str">
            <v>HERRAMIENTAS, REFACCIONES Y ACCESORIOS MENORES</v>
          </cell>
          <cell r="C109" t="str">
            <v>N</v>
          </cell>
        </row>
        <row r="110">
          <cell r="A110">
            <v>291000</v>
          </cell>
          <cell r="B110" t="str">
            <v>Herramientas menores</v>
          </cell>
          <cell r="C110" t="str">
            <v>N</v>
          </cell>
        </row>
        <row r="111">
          <cell r="A111">
            <v>291001</v>
          </cell>
          <cell r="B111" t="str">
            <v>Herramientas Auxiliares de Trabajo</v>
          </cell>
          <cell r="C111" t="str">
            <v>S</v>
          </cell>
        </row>
        <row r="112">
          <cell r="A112">
            <v>292000</v>
          </cell>
          <cell r="B112" t="str">
            <v>Refacciones y accesorios menores de edificios</v>
          </cell>
          <cell r="C112" t="str">
            <v>N</v>
          </cell>
        </row>
        <row r="113">
          <cell r="A113">
            <v>292001</v>
          </cell>
          <cell r="B113" t="str">
            <v>Refacciones y accesorios menores de edificios (candados, cerraduras, chapas, llaves)</v>
          </cell>
          <cell r="C113" t="str">
            <v>S</v>
          </cell>
        </row>
        <row r="114">
          <cell r="A114">
            <v>293000</v>
          </cell>
          <cell r="B114" t="str">
            <v>Refacciones y accesorios menores de mobiliario y equipo de administración, educacional y recreativo</v>
          </cell>
          <cell r="C114" t="str">
            <v>N</v>
          </cell>
        </row>
        <row r="115">
          <cell r="A115">
            <v>293001</v>
          </cell>
          <cell r="B115" t="str">
            <v>Refacciones y accesorios menores de mobiliario y equipo de administración, educacional y recreativo</v>
          </cell>
          <cell r="C115" t="str">
            <v>S</v>
          </cell>
        </row>
        <row r="116">
          <cell r="A116">
            <v>294000</v>
          </cell>
          <cell r="B116" t="str">
            <v>Refacciones y accesorios menores de equipo de cómputo y tecnologías de la información</v>
          </cell>
          <cell r="C116" t="str">
            <v>N</v>
          </cell>
        </row>
        <row r="117">
          <cell r="A117">
            <v>294001</v>
          </cell>
          <cell r="B117" t="str">
            <v>Dispositivos Internos y Externos de Equipo de Computo</v>
          </cell>
          <cell r="C117" t="str">
            <v>S</v>
          </cell>
        </row>
        <row r="118">
          <cell r="A118">
            <v>294002</v>
          </cell>
          <cell r="B118" t="str">
            <v>Refacciones y Accesorios Menores de Equipo de Computo</v>
          </cell>
          <cell r="C118" t="str">
            <v>S</v>
          </cell>
        </row>
        <row r="119">
          <cell r="A119">
            <v>295000</v>
          </cell>
          <cell r="B119" t="str">
            <v>Refacciones y accesorios menores de equipo e instrumental médico y de laboratorio</v>
          </cell>
          <cell r="C119" t="str">
            <v>N</v>
          </cell>
        </row>
        <row r="120">
          <cell r="A120">
            <v>295001</v>
          </cell>
          <cell r="B120" t="str">
            <v>Refacciones y accesorios menores de equipo e instrumental médico y de laboratorio</v>
          </cell>
          <cell r="C120" t="str">
            <v>S</v>
          </cell>
        </row>
        <row r="121">
          <cell r="A121">
            <v>296000</v>
          </cell>
          <cell r="B121" t="str">
            <v>Refacciones y accesorios menores de equipo de transporte</v>
          </cell>
          <cell r="C121" t="str">
            <v>N</v>
          </cell>
        </row>
        <row r="122">
          <cell r="A122">
            <v>296001</v>
          </cell>
          <cell r="B122" t="str">
            <v>Herramientas, refacciones y accesorios</v>
          </cell>
          <cell r="C122" t="str">
            <v>S</v>
          </cell>
        </row>
        <row r="123">
          <cell r="A123">
            <v>297000</v>
          </cell>
          <cell r="B123" t="str">
            <v>Refacciones y accesorios menores de equipo de defensa y seguridad</v>
          </cell>
          <cell r="C123" t="str">
            <v>N</v>
          </cell>
        </row>
        <row r="124">
          <cell r="A124">
            <v>297001</v>
          </cell>
          <cell r="B124" t="str">
            <v>Refacciones y accesorios menores de equipo de defensa y seguridad</v>
          </cell>
          <cell r="C124" t="str">
            <v>S</v>
          </cell>
        </row>
        <row r="125">
          <cell r="A125">
            <v>298000</v>
          </cell>
          <cell r="B125" t="str">
            <v>Refacciones y accesorios menores de maquinaria y otros equipos</v>
          </cell>
          <cell r="C125" t="str">
            <v>N</v>
          </cell>
        </row>
        <row r="126">
          <cell r="A126">
            <v>298001</v>
          </cell>
          <cell r="B126" t="str">
            <v>Refacciones y accesorios menores de maquinaria y otros equipos</v>
          </cell>
          <cell r="C126" t="str">
            <v>S</v>
          </cell>
        </row>
        <row r="127">
          <cell r="A127">
            <v>299000</v>
          </cell>
          <cell r="B127" t="str">
            <v>Refacciones y accesorios menores otros bienes muebles</v>
          </cell>
          <cell r="C127" t="str">
            <v>N</v>
          </cell>
        </row>
        <row r="128">
          <cell r="A128">
            <v>299001</v>
          </cell>
          <cell r="B128" t="str">
            <v>Refacciones y accesorios menores otros bienes muebles</v>
          </cell>
          <cell r="C128" t="str">
            <v>S</v>
          </cell>
        </row>
        <row r="129">
          <cell r="A129">
            <v>300000</v>
          </cell>
          <cell r="B129" t="str">
            <v>SERVICIOS GENERALES</v>
          </cell>
          <cell r="C129" t="str">
            <v>N</v>
          </cell>
        </row>
        <row r="130">
          <cell r="A130">
            <v>310000</v>
          </cell>
          <cell r="B130" t="str">
            <v>SERVICIOS BÁSICOS</v>
          </cell>
          <cell r="C130" t="str">
            <v>N</v>
          </cell>
        </row>
        <row r="131">
          <cell r="A131">
            <v>311000</v>
          </cell>
          <cell r="B131" t="str">
            <v>Energía eléctrica</v>
          </cell>
          <cell r="C131" t="str">
            <v>N</v>
          </cell>
        </row>
        <row r="132">
          <cell r="A132">
            <v>311001</v>
          </cell>
          <cell r="B132" t="str">
            <v>Servicio de energía eléctrica</v>
          </cell>
          <cell r="C132" t="str">
            <v>S</v>
          </cell>
        </row>
        <row r="133">
          <cell r="A133">
            <v>311002</v>
          </cell>
          <cell r="B133" t="str">
            <v>Contratación del servicio de energía eléctrica</v>
          </cell>
          <cell r="C133" t="str">
            <v>S</v>
          </cell>
        </row>
        <row r="134">
          <cell r="A134">
            <v>312000</v>
          </cell>
          <cell r="B134" t="str">
            <v>Gas</v>
          </cell>
          <cell r="C134" t="str">
            <v>N</v>
          </cell>
        </row>
        <row r="135">
          <cell r="A135">
            <v>312001</v>
          </cell>
          <cell r="B135" t="str">
            <v>Servicio de Gas L.P.</v>
          </cell>
          <cell r="C135" t="str">
            <v>S</v>
          </cell>
        </row>
        <row r="136">
          <cell r="A136">
            <v>313000</v>
          </cell>
          <cell r="B136" t="str">
            <v>Agua</v>
          </cell>
          <cell r="C136" t="str">
            <v>N</v>
          </cell>
        </row>
        <row r="137">
          <cell r="A137">
            <v>313001</v>
          </cell>
          <cell r="B137" t="str">
            <v>Servicio de agua potable</v>
          </cell>
          <cell r="C137" t="str">
            <v>S</v>
          </cell>
        </row>
        <row r="138">
          <cell r="A138">
            <v>313002</v>
          </cell>
          <cell r="B138" t="str">
            <v>Contratación del servicio de agua potable</v>
          </cell>
          <cell r="C138" t="str">
            <v>S</v>
          </cell>
        </row>
        <row r="139">
          <cell r="A139">
            <v>314000</v>
          </cell>
          <cell r="B139" t="str">
            <v>Telefonía tradicional</v>
          </cell>
          <cell r="C139" t="str">
            <v>N</v>
          </cell>
        </row>
        <row r="140">
          <cell r="A140">
            <v>314001</v>
          </cell>
          <cell r="B140" t="str">
            <v>Servicio telefónico</v>
          </cell>
          <cell r="C140" t="str">
            <v>S</v>
          </cell>
        </row>
        <row r="141">
          <cell r="A141">
            <v>315000</v>
          </cell>
          <cell r="B141" t="str">
            <v>Telefonía celular</v>
          </cell>
          <cell r="C141" t="str">
            <v>N</v>
          </cell>
        </row>
        <row r="142">
          <cell r="A142">
            <v>315001</v>
          </cell>
          <cell r="B142" t="str">
            <v>Telefonía celular</v>
          </cell>
          <cell r="C142" t="str">
            <v>S</v>
          </cell>
        </row>
        <row r="143">
          <cell r="A143">
            <v>316000</v>
          </cell>
          <cell r="B143" t="str">
            <v>Servicios de telecomunicaciones y satélites</v>
          </cell>
          <cell r="C143" t="str">
            <v>N</v>
          </cell>
        </row>
        <row r="144">
          <cell r="A144">
            <v>316001</v>
          </cell>
          <cell r="B144" t="str">
            <v>Servicios de telecomunicaciones y satélites</v>
          </cell>
          <cell r="C144" t="str">
            <v>S</v>
          </cell>
        </row>
        <row r="145">
          <cell r="A145">
            <v>317000</v>
          </cell>
          <cell r="B145" t="str">
            <v>Servicios de acceso de Internet, redes y procesamiento de información</v>
          </cell>
          <cell r="C145" t="str">
            <v>N</v>
          </cell>
        </row>
        <row r="146">
          <cell r="A146">
            <v>317001</v>
          </cell>
          <cell r="B146" t="str">
            <v>Servicios de acceso de Internet, redes y procesamiento de información</v>
          </cell>
          <cell r="C146" t="str">
            <v>S</v>
          </cell>
        </row>
        <row r="147">
          <cell r="A147">
            <v>318000</v>
          </cell>
          <cell r="B147" t="str">
            <v>Servicios postales y telegráficos</v>
          </cell>
          <cell r="C147" t="str">
            <v>N</v>
          </cell>
        </row>
        <row r="148">
          <cell r="A148">
            <v>318001</v>
          </cell>
          <cell r="B148" t="str">
            <v>Servicio postal y telegráfico</v>
          </cell>
          <cell r="C148" t="str">
            <v>S</v>
          </cell>
        </row>
        <row r="149">
          <cell r="A149">
            <v>319000</v>
          </cell>
          <cell r="B149" t="str">
            <v>Servicios integrales y otros servicios</v>
          </cell>
          <cell r="C149" t="str">
            <v>N</v>
          </cell>
        </row>
        <row r="150">
          <cell r="A150">
            <v>319001</v>
          </cell>
          <cell r="B150" t="str">
            <v>Servicios Integrales</v>
          </cell>
          <cell r="C150" t="str">
            <v>S</v>
          </cell>
        </row>
        <row r="151">
          <cell r="A151">
            <v>320000</v>
          </cell>
          <cell r="B151" t="str">
            <v>SERVICIOS DE ARRENDAMIENTO</v>
          </cell>
          <cell r="C151" t="str">
            <v>N</v>
          </cell>
        </row>
        <row r="152">
          <cell r="A152">
            <v>321000</v>
          </cell>
          <cell r="B152" t="str">
            <v>Arrendamiento de terrenos</v>
          </cell>
          <cell r="C152" t="str">
            <v>N</v>
          </cell>
        </row>
        <row r="153">
          <cell r="A153">
            <v>321001</v>
          </cell>
          <cell r="B153" t="str">
            <v>Arrendamiento de terrenos</v>
          </cell>
          <cell r="C153" t="str">
            <v>S</v>
          </cell>
        </row>
        <row r="154">
          <cell r="A154">
            <v>322000</v>
          </cell>
          <cell r="B154" t="str">
            <v>Arrendamiento de edificios</v>
          </cell>
          <cell r="C154" t="str">
            <v>N</v>
          </cell>
        </row>
        <row r="155">
          <cell r="A155">
            <v>322001</v>
          </cell>
          <cell r="B155" t="str">
            <v>Arrendamiento de edificios</v>
          </cell>
          <cell r="C155" t="str">
            <v>S</v>
          </cell>
        </row>
        <row r="156">
          <cell r="A156">
            <v>323000</v>
          </cell>
          <cell r="B156" t="str">
            <v>Arrendamiento de mobiliario y equipo de administración, educacional y recreativo</v>
          </cell>
          <cell r="C156" t="str">
            <v>N</v>
          </cell>
        </row>
        <row r="157">
          <cell r="A157">
            <v>323001</v>
          </cell>
          <cell r="B157" t="str">
            <v>Arrendamiento de maquinaria y equipo</v>
          </cell>
          <cell r="C157" t="str">
            <v>S</v>
          </cell>
        </row>
        <row r="158">
          <cell r="A158">
            <v>323002</v>
          </cell>
          <cell r="B158" t="str">
            <v>Arrendamiento de maquinaria y equipo de Administración</v>
          </cell>
          <cell r="C158" t="str">
            <v>S</v>
          </cell>
        </row>
        <row r="159">
          <cell r="A159">
            <v>323003</v>
          </cell>
          <cell r="B159" t="str">
            <v>Arrendamiento de Equipo Educacional y Recreativo</v>
          </cell>
          <cell r="C159" t="str">
            <v>S</v>
          </cell>
        </row>
        <row r="160">
          <cell r="A160">
            <v>323004</v>
          </cell>
          <cell r="B160" t="str">
            <v>Arrendamiento de Mobiliario y Equipo</v>
          </cell>
          <cell r="C160" t="str">
            <v>S</v>
          </cell>
        </row>
        <row r="161">
          <cell r="A161">
            <v>324000</v>
          </cell>
          <cell r="B161" t="str">
            <v>Arrendamiento de equipo e instrumental médico y de laboratorio</v>
          </cell>
          <cell r="C161" t="str">
            <v>N</v>
          </cell>
        </row>
        <row r="162">
          <cell r="A162">
            <v>324001</v>
          </cell>
          <cell r="B162" t="str">
            <v>Arrendamiento de equipo e instrumental médico y de laboratorio</v>
          </cell>
          <cell r="C162" t="str">
            <v>S</v>
          </cell>
        </row>
        <row r="163">
          <cell r="A163">
            <v>325000</v>
          </cell>
          <cell r="B163" t="str">
            <v>Arrendamiento de equipo de transporte</v>
          </cell>
          <cell r="C163" t="str">
            <v>N</v>
          </cell>
        </row>
        <row r="164">
          <cell r="A164">
            <v>325001</v>
          </cell>
          <cell r="B164" t="str">
            <v>Arrendamiento de equipo de transporte</v>
          </cell>
          <cell r="C164" t="str">
            <v>S</v>
          </cell>
        </row>
        <row r="165">
          <cell r="A165">
            <v>326000</v>
          </cell>
          <cell r="B165" t="str">
            <v>Arrendamiento de maquinaria, otros equipos y herramientas</v>
          </cell>
          <cell r="C165" t="str">
            <v>N</v>
          </cell>
        </row>
        <row r="166">
          <cell r="A166">
            <v>326001</v>
          </cell>
          <cell r="B166" t="str">
            <v>Arrendamiento de maquinaria, otros equipos y herramientas</v>
          </cell>
          <cell r="C166" t="str">
            <v>S</v>
          </cell>
        </row>
        <row r="167">
          <cell r="A167">
            <v>327000</v>
          </cell>
          <cell r="B167" t="str">
            <v>Arrendamiento de activos intangibles</v>
          </cell>
          <cell r="C167" t="str">
            <v>N</v>
          </cell>
        </row>
        <row r="168">
          <cell r="A168">
            <v>327001</v>
          </cell>
          <cell r="B168" t="str">
            <v>Arrendamiento de activos intangibles</v>
          </cell>
          <cell r="C168" t="str">
            <v>S</v>
          </cell>
        </row>
        <row r="169">
          <cell r="A169">
            <v>328000</v>
          </cell>
          <cell r="B169" t="str">
            <v>Arrendamiento financiero</v>
          </cell>
          <cell r="C169" t="str">
            <v>N</v>
          </cell>
        </row>
        <row r="170">
          <cell r="A170">
            <v>328001</v>
          </cell>
          <cell r="B170" t="str">
            <v>Arrendamiento financiero</v>
          </cell>
          <cell r="C170" t="str">
            <v>S</v>
          </cell>
        </row>
        <row r="171">
          <cell r="A171">
            <v>328002</v>
          </cell>
          <cell r="B171" t="str">
            <v>Programa Estatal de Arrendamiento Vehicular</v>
          </cell>
          <cell r="C171" t="str">
            <v>S</v>
          </cell>
        </row>
        <row r="172">
          <cell r="A172">
            <v>329000</v>
          </cell>
          <cell r="B172" t="str">
            <v>Otros arrendamientos</v>
          </cell>
          <cell r="C172" t="str">
            <v>N</v>
          </cell>
        </row>
        <row r="173">
          <cell r="A173">
            <v>329001</v>
          </cell>
          <cell r="B173" t="str">
            <v>Arrendamientos especiales</v>
          </cell>
          <cell r="C173" t="str">
            <v>S</v>
          </cell>
        </row>
        <row r="174">
          <cell r="A174">
            <v>330000</v>
          </cell>
          <cell r="B174" t="str">
            <v>SERVICIOS PROFESIONALES, CIENTÍFICOS, TÉCNICOS Y OTROS SERVICIOS</v>
          </cell>
          <cell r="C174" t="str">
            <v>N</v>
          </cell>
        </row>
        <row r="175">
          <cell r="A175">
            <v>331000</v>
          </cell>
          <cell r="B175" t="str">
            <v>Servicios legales, de contabilidad, auditoría y relacionados</v>
          </cell>
          <cell r="C175" t="str">
            <v>N</v>
          </cell>
        </row>
        <row r="176">
          <cell r="A176">
            <v>331001</v>
          </cell>
          <cell r="B176" t="str">
            <v>Asesorías</v>
          </cell>
          <cell r="C176" t="str">
            <v>S</v>
          </cell>
        </row>
        <row r="177">
          <cell r="A177">
            <v>331002</v>
          </cell>
          <cell r="B177" t="str">
            <v>Servicios Notariales</v>
          </cell>
          <cell r="C177" t="str">
            <v>S</v>
          </cell>
        </row>
        <row r="178">
          <cell r="A178">
            <v>331003</v>
          </cell>
          <cell r="B178" t="str">
            <v>Consultoría y Gestión</v>
          </cell>
          <cell r="C178" t="str">
            <v>S</v>
          </cell>
        </row>
        <row r="179">
          <cell r="A179">
            <v>332000</v>
          </cell>
          <cell r="B179" t="str">
            <v>Servicios de diseño, arquitectura, ingeniería y actividades relacionadas</v>
          </cell>
          <cell r="C179" t="str">
            <v>N</v>
          </cell>
        </row>
        <row r="180">
          <cell r="A180">
            <v>332001</v>
          </cell>
          <cell r="B180" t="str">
            <v>Servicios de diseño, arquitectura, ingeniería y actividades relacionadas</v>
          </cell>
          <cell r="C180" t="str">
            <v>S</v>
          </cell>
        </row>
        <row r="181">
          <cell r="A181">
            <v>333000</v>
          </cell>
          <cell r="B181" t="str">
            <v>Servicios de consultoría administrativa, procesos, técnica y en tecnologías de la información</v>
          </cell>
          <cell r="C181" t="str">
            <v>N</v>
          </cell>
        </row>
        <row r="182">
          <cell r="A182">
            <v>333001</v>
          </cell>
          <cell r="B182" t="str">
            <v>Estudios e investigaciones</v>
          </cell>
          <cell r="C182" t="str">
            <v>S</v>
          </cell>
        </row>
        <row r="183">
          <cell r="A183">
            <v>333002</v>
          </cell>
          <cell r="B183" t="str">
            <v>Sistematización de la Armonización Contable y Presupuestal</v>
          </cell>
          <cell r="C183" t="str">
            <v>S</v>
          </cell>
        </row>
        <row r="184">
          <cell r="A184">
            <v>333003</v>
          </cell>
          <cell r="B184" t="str">
            <v>Servicios de consultoría administrativa, procesos, técnica y en tecnologías de la información</v>
          </cell>
          <cell r="C184" t="str">
            <v>S</v>
          </cell>
        </row>
        <row r="185">
          <cell r="A185">
            <v>334000</v>
          </cell>
          <cell r="B185" t="str">
            <v>Servicios de capacitación</v>
          </cell>
          <cell r="C185" t="str">
            <v>N</v>
          </cell>
        </row>
        <row r="186">
          <cell r="A186">
            <v>334001</v>
          </cell>
          <cell r="B186" t="str">
            <v>Cuotas e inscripciones</v>
          </cell>
          <cell r="C186" t="str">
            <v>S</v>
          </cell>
        </row>
        <row r="187">
          <cell r="A187">
            <v>334002</v>
          </cell>
          <cell r="B187" t="str">
            <v>Servicios de Capacitación</v>
          </cell>
          <cell r="C187" t="str">
            <v>S</v>
          </cell>
        </row>
        <row r="188">
          <cell r="A188">
            <v>335000</v>
          </cell>
          <cell r="B188" t="str">
            <v>Servicios de investigación científica y desarrollo</v>
          </cell>
          <cell r="C188" t="str">
            <v>N</v>
          </cell>
        </row>
        <row r="189">
          <cell r="A189">
            <v>335001</v>
          </cell>
          <cell r="B189" t="str">
            <v>Servicios de investigación científica y desarrollo</v>
          </cell>
          <cell r="C189" t="str">
            <v>S</v>
          </cell>
        </row>
        <row r="190">
          <cell r="A190">
            <v>336000</v>
          </cell>
          <cell r="B190" t="str">
            <v>Servicios de apoyo administrativo, traducción, fotocopiado e impresión</v>
          </cell>
          <cell r="C190" t="str">
            <v>N</v>
          </cell>
        </row>
        <row r="191">
          <cell r="A191">
            <v>336001</v>
          </cell>
          <cell r="B191" t="str">
            <v>Servicio de Fotocopiado, Enmicado y Encuadernación de Documentos.</v>
          </cell>
          <cell r="C191" t="str">
            <v>S</v>
          </cell>
        </row>
        <row r="192">
          <cell r="A192">
            <v>336002</v>
          </cell>
          <cell r="B192" t="str">
            <v>Servicio de Impresión y Elaboración de Material Informativo</v>
          </cell>
          <cell r="C192" t="str">
            <v>S</v>
          </cell>
        </row>
        <row r="193">
          <cell r="A193">
            <v>337000</v>
          </cell>
          <cell r="B193" t="str">
            <v>Servicios de protección y seguridad</v>
          </cell>
          <cell r="C193" t="str">
            <v>N</v>
          </cell>
        </row>
        <row r="194">
          <cell r="A194">
            <v>337001</v>
          </cell>
          <cell r="B194" t="str">
            <v>Dispositivo de seguridad pública</v>
          </cell>
          <cell r="C194" t="str">
            <v>S</v>
          </cell>
        </row>
        <row r="195">
          <cell r="A195">
            <v>338000</v>
          </cell>
          <cell r="B195" t="str">
            <v>Servicios de vigilancia</v>
          </cell>
          <cell r="C195" t="str">
            <v>N</v>
          </cell>
        </row>
        <row r="196">
          <cell r="A196">
            <v>338001</v>
          </cell>
          <cell r="B196" t="str">
            <v>Servicio de seguridad privada</v>
          </cell>
          <cell r="C196" t="str">
            <v>S</v>
          </cell>
        </row>
        <row r="197">
          <cell r="A197">
            <v>339000</v>
          </cell>
          <cell r="B197" t="str">
            <v>Servicios profesionales, científicos y técnicos integrales</v>
          </cell>
          <cell r="C197" t="str">
            <v>N</v>
          </cell>
        </row>
        <row r="198">
          <cell r="A198">
            <v>339001</v>
          </cell>
          <cell r="B198" t="str">
            <v>Servicios profesionales, científicos y técnicos integrales</v>
          </cell>
          <cell r="C198" t="str">
            <v>S</v>
          </cell>
        </row>
        <row r="199">
          <cell r="A199">
            <v>340000</v>
          </cell>
          <cell r="B199" t="str">
            <v>SERVICIOS FINANCIEROS, BANCARIOS Y COMERCIALES</v>
          </cell>
          <cell r="C199" t="str">
            <v>N</v>
          </cell>
        </row>
        <row r="200">
          <cell r="A200">
            <v>341000</v>
          </cell>
          <cell r="B200" t="str">
            <v>Servicios financieros y bancarios</v>
          </cell>
          <cell r="C200" t="str">
            <v>N</v>
          </cell>
        </row>
        <row r="201">
          <cell r="A201">
            <v>341001</v>
          </cell>
          <cell r="B201" t="str">
            <v>Comisiones, descuentos y otros servicios bancarios</v>
          </cell>
          <cell r="C201" t="str">
            <v>S</v>
          </cell>
        </row>
        <row r="202">
          <cell r="A202">
            <v>342000</v>
          </cell>
          <cell r="B202" t="str">
            <v>Servicios de cobranza, investigación crediticia y similar</v>
          </cell>
          <cell r="C202" t="str">
            <v>N</v>
          </cell>
        </row>
        <row r="203">
          <cell r="A203">
            <v>342001</v>
          </cell>
          <cell r="B203" t="str">
            <v>Servicios de cobranza, investigación crediticia y similar</v>
          </cell>
          <cell r="C203" t="str">
            <v>S</v>
          </cell>
        </row>
        <row r="204">
          <cell r="A204">
            <v>343000</v>
          </cell>
          <cell r="B204" t="str">
            <v>Servicios de recaudación, traslado y custodia de valores</v>
          </cell>
          <cell r="C204" t="str">
            <v>N</v>
          </cell>
        </row>
        <row r="205">
          <cell r="A205">
            <v>343001</v>
          </cell>
          <cell r="B205" t="str">
            <v>Servicios de recaudación, traslado y custodia de valores</v>
          </cell>
          <cell r="C205" t="str">
            <v>S</v>
          </cell>
        </row>
        <row r="206">
          <cell r="A206">
            <v>344000</v>
          </cell>
          <cell r="B206" t="str">
            <v>Seguros de responsabilidad patrimonial y fianzas</v>
          </cell>
          <cell r="C206" t="str">
            <v>N</v>
          </cell>
        </row>
        <row r="207">
          <cell r="A207">
            <v>344001</v>
          </cell>
          <cell r="B207" t="str">
            <v>Seguros de responsabilidad patrimonial y fianzas</v>
          </cell>
          <cell r="C207" t="str">
            <v>S</v>
          </cell>
        </row>
        <row r="208">
          <cell r="A208">
            <v>345000</v>
          </cell>
          <cell r="B208" t="str">
            <v>Seguro de bienes patrimoniales</v>
          </cell>
          <cell r="C208" t="str">
            <v>N</v>
          </cell>
        </row>
        <row r="209">
          <cell r="A209">
            <v>345001</v>
          </cell>
          <cell r="B209" t="str">
            <v>Seguros</v>
          </cell>
          <cell r="C209" t="str">
            <v>S</v>
          </cell>
        </row>
        <row r="210">
          <cell r="A210">
            <v>346000</v>
          </cell>
          <cell r="B210" t="str">
            <v>Almacenaje, envase y embalaje</v>
          </cell>
          <cell r="C210" t="str">
            <v>N</v>
          </cell>
        </row>
        <row r="211">
          <cell r="A211">
            <v>346001</v>
          </cell>
          <cell r="B211" t="str">
            <v>Almacenaje, envase y embalaje</v>
          </cell>
          <cell r="C211" t="str">
            <v>S</v>
          </cell>
        </row>
        <row r="212">
          <cell r="A212">
            <v>347000</v>
          </cell>
          <cell r="B212" t="str">
            <v>Fletes y maniobras</v>
          </cell>
          <cell r="C212" t="str">
            <v>N</v>
          </cell>
        </row>
        <row r="213">
          <cell r="A213">
            <v>347001</v>
          </cell>
          <cell r="B213" t="str">
            <v>Fletes, maniobras y almacenaje</v>
          </cell>
          <cell r="C213" t="str">
            <v>S</v>
          </cell>
        </row>
        <row r="214">
          <cell r="A214">
            <v>348000</v>
          </cell>
          <cell r="B214" t="str">
            <v>Comisiones por ventas</v>
          </cell>
          <cell r="C214" t="str">
            <v>N</v>
          </cell>
        </row>
        <row r="215">
          <cell r="A215">
            <v>348001</v>
          </cell>
          <cell r="B215" t="str">
            <v>Comisiones por ventas</v>
          </cell>
          <cell r="C215" t="str">
            <v>S</v>
          </cell>
        </row>
        <row r="216">
          <cell r="A216">
            <v>349000</v>
          </cell>
          <cell r="B216" t="str">
            <v>Servicios financieros, bancarios y comerciales integrales</v>
          </cell>
          <cell r="C216" t="str">
            <v>N</v>
          </cell>
        </row>
        <row r="217">
          <cell r="A217">
            <v>349001</v>
          </cell>
          <cell r="B217" t="str">
            <v>Servicios financieros, bancarios y comerciales integrales</v>
          </cell>
          <cell r="C217" t="str">
            <v>S</v>
          </cell>
        </row>
        <row r="218">
          <cell r="A218">
            <v>350000</v>
          </cell>
          <cell r="B218" t="str">
            <v>SERVICIOS DE INSTALACIÓN, REPARACIÓN, MANTENIMIENTO Y CONSERVACIÓN</v>
          </cell>
          <cell r="C218" t="str">
            <v>N</v>
          </cell>
        </row>
        <row r="219">
          <cell r="A219">
            <v>351000</v>
          </cell>
          <cell r="B219" t="str">
            <v>Conservación y mantenimiento menor de inmuebles</v>
          </cell>
          <cell r="C219" t="str">
            <v>N</v>
          </cell>
        </row>
        <row r="220">
          <cell r="A220">
            <v>351001</v>
          </cell>
          <cell r="B220" t="str">
            <v>Mantenimiento de inmuebles</v>
          </cell>
          <cell r="C220" t="str">
            <v>S</v>
          </cell>
        </row>
        <row r="221">
          <cell r="A221">
            <v>351002</v>
          </cell>
          <cell r="B221" t="str">
            <v>Fumigación de Inmuebles</v>
          </cell>
          <cell r="C221" t="str">
            <v>S</v>
          </cell>
        </row>
        <row r="222">
          <cell r="A222">
            <v>351003</v>
          </cell>
          <cell r="B222" t="str">
            <v>Mantto. y Conserv. de Inmuebles Sub Proc. Zona Norte</v>
          </cell>
          <cell r="C222" t="str">
            <v>S</v>
          </cell>
        </row>
        <row r="223">
          <cell r="A223">
            <v>352000</v>
          </cell>
          <cell r="B223" t="str">
            <v>Instalación, reparación y mantenimiento de mobiliario y equipo de administración, educacional y recreativo</v>
          </cell>
          <cell r="C223" t="str">
            <v>N</v>
          </cell>
        </row>
        <row r="224">
          <cell r="A224">
            <v>352001</v>
          </cell>
          <cell r="B224" t="str">
            <v>Mantenimiento de mobiliario y equipo</v>
          </cell>
          <cell r="C224" t="str">
            <v>S</v>
          </cell>
        </row>
        <row r="225">
          <cell r="A225">
            <v>352002</v>
          </cell>
          <cell r="B225" t="str">
            <v>Gastos de instalación</v>
          </cell>
          <cell r="C225" t="str">
            <v>S</v>
          </cell>
        </row>
        <row r="226">
          <cell r="A226">
            <v>352003</v>
          </cell>
          <cell r="B226" t="str">
            <v>Mantto. y Conservación Archivo General de Notarias del Gob. del Edo.</v>
          </cell>
          <cell r="C226" t="str">
            <v>S</v>
          </cell>
        </row>
        <row r="227">
          <cell r="A227">
            <v>353000</v>
          </cell>
          <cell r="B227" t="str">
            <v>Instalación, reparación y mantenimiento de equipo de cómputo y tecnología de la información</v>
          </cell>
          <cell r="C227" t="str">
            <v>N</v>
          </cell>
        </row>
        <row r="228">
          <cell r="A228">
            <v>353001</v>
          </cell>
          <cell r="B228" t="str">
            <v>Instalación, reparación y mantenimiento de equipo de cómputo y tecnología  de la información</v>
          </cell>
          <cell r="C228" t="str">
            <v>S</v>
          </cell>
        </row>
        <row r="229">
          <cell r="A229">
            <v>354000</v>
          </cell>
          <cell r="B229" t="str">
            <v>Instalación, reparación y mantenimiento de equipo e instrumental médico y de laboratorio</v>
          </cell>
          <cell r="C229" t="str">
            <v>N</v>
          </cell>
        </row>
        <row r="230">
          <cell r="A230">
            <v>354001</v>
          </cell>
          <cell r="B230" t="str">
            <v>Instalación, reparación y mantenimiento de equipo e instrumental médico y de laboratorio</v>
          </cell>
          <cell r="C230" t="str">
            <v>S</v>
          </cell>
        </row>
        <row r="231">
          <cell r="A231">
            <v>355000</v>
          </cell>
          <cell r="B231" t="str">
            <v>Reparación y mantenimiento de equipo de transporte</v>
          </cell>
          <cell r="C231" t="str">
            <v>N</v>
          </cell>
        </row>
        <row r="232">
          <cell r="A232">
            <v>355001</v>
          </cell>
          <cell r="B232" t="str">
            <v>Mantto. y conservación de vehículos terrestres, aéreos, marítimos, lacustres y fluviales</v>
          </cell>
          <cell r="C232" t="str">
            <v>S</v>
          </cell>
        </row>
        <row r="233">
          <cell r="A233">
            <v>356000</v>
          </cell>
          <cell r="B233" t="str">
            <v>Reparación y mantenimiento de equipo de defensa y seguridad</v>
          </cell>
          <cell r="C233" t="str">
            <v>N</v>
          </cell>
        </row>
        <row r="234">
          <cell r="A234">
            <v>356001</v>
          </cell>
          <cell r="B234" t="str">
            <v>Reparación y mantenimiento de equipo de defensa y seguridad</v>
          </cell>
          <cell r="C234" t="str">
            <v>S</v>
          </cell>
        </row>
        <row r="235">
          <cell r="A235">
            <v>357000</v>
          </cell>
          <cell r="B235" t="str">
            <v>Instalación, reparación y mantenimiento de maquinaria, otros equipos y herramienta</v>
          </cell>
          <cell r="C235" t="str">
            <v>N</v>
          </cell>
        </row>
        <row r="236">
          <cell r="A236">
            <v>357001</v>
          </cell>
          <cell r="B236" t="str">
            <v>Instalación, reparación y mantenimiento de Equipo de Telecomunicaciones</v>
          </cell>
          <cell r="C236" t="str">
            <v>S</v>
          </cell>
        </row>
        <row r="237">
          <cell r="A237">
            <v>357002</v>
          </cell>
          <cell r="B237" t="str">
            <v>Instalación, reparación y mantenimiento de maquinaria, otros equipos y herramienta</v>
          </cell>
          <cell r="C237" t="str">
            <v>S</v>
          </cell>
        </row>
        <row r="238">
          <cell r="A238">
            <v>358000</v>
          </cell>
          <cell r="B238" t="str">
            <v>Servicios de limpieza y manejo de desechos</v>
          </cell>
          <cell r="C238" t="str">
            <v>N</v>
          </cell>
        </row>
        <row r="239">
          <cell r="A239">
            <v>358001</v>
          </cell>
          <cell r="B239" t="str">
            <v>Servicios de higiene y limpieza</v>
          </cell>
          <cell r="C239" t="str">
            <v>S</v>
          </cell>
        </row>
        <row r="240">
          <cell r="A240">
            <v>358002</v>
          </cell>
          <cell r="B240" t="str">
            <v>Servicios de Limpieza y Lavado de Vehículos</v>
          </cell>
          <cell r="C240" t="str">
            <v>S</v>
          </cell>
        </row>
        <row r="241">
          <cell r="A241">
            <v>358003</v>
          </cell>
          <cell r="B241" t="str">
            <v>Servicios de Lavandería</v>
          </cell>
          <cell r="C241" t="str">
            <v>S</v>
          </cell>
        </row>
        <row r="242">
          <cell r="A242">
            <v>359000</v>
          </cell>
          <cell r="B242" t="str">
            <v>Servicios de jardinería y fumigación</v>
          </cell>
          <cell r="C242" t="str">
            <v>N</v>
          </cell>
        </row>
        <row r="243">
          <cell r="A243">
            <v>359001</v>
          </cell>
          <cell r="B243" t="str">
            <v>Árboles, plantas, semillas y abonos</v>
          </cell>
          <cell r="C243" t="str">
            <v>S</v>
          </cell>
        </row>
        <row r="244">
          <cell r="A244">
            <v>359002</v>
          </cell>
          <cell r="B244" t="str">
            <v>Fumigación de áreas verdes</v>
          </cell>
          <cell r="C244" t="str">
            <v>S</v>
          </cell>
        </row>
        <row r="245">
          <cell r="A245">
            <v>360000</v>
          </cell>
          <cell r="B245" t="str">
            <v>SERVICIOS DE COMUNICACIÓN SOCIAL Y PUBLICIDAD</v>
          </cell>
          <cell r="C245" t="str">
            <v>N</v>
          </cell>
        </row>
        <row r="246">
          <cell r="A246">
            <v>361000</v>
          </cell>
          <cell r="B246" t="str">
            <v>Difusión por radio, televisión y otros medios de mensajes sobre programas y actividades gubernamentales</v>
          </cell>
          <cell r="C246" t="str">
            <v>N</v>
          </cell>
        </row>
        <row r="247">
          <cell r="A247">
            <v>361001</v>
          </cell>
          <cell r="B247" t="str">
            <v>Gastos de difusión</v>
          </cell>
          <cell r="C247" t="str">
            <v>S</v>
          </cell>
        </row>
        <row r="248">
          <cell r="A248">
            <v>361002</v>
          </cell>
          <cell r="B248" t="str">
            <v>Impresiones y publicaciones oficiales</v>
          </cell>
          <cell r="C248" t="str">
            <v>S</v>
          </cell>
        </row>
        <row r="249">
          <cell r="A249">
            <v>361003</v>
          </cell>
          <cell r="B249" t="str">
            <v>Rotulaciones oficiales</v>
          </cell>
          <cell r="C249" t="str">
            <v>S</v>
          </cell>
        </row>
        <row r="250">
          <cell r="A250">
            <v>361004</v>
          </cell>
          <cell r="B250" t="str">
            <v>Publicación de convocatorias</v>
          </cell>
          <cell r="C250" t="str">
            <v>S</v>
          </cell>
        </row>
        <row r="251">
          <cell r="A251">
            <v>362000</v>
          </cell>
          <cell r="B251" t="str">
            <v>Difusión por radio, televisión y otros medios de mensajes comerciales para promover la venta de bienes o servicios</v>
          </cell>
          <cell r="C251" t="str">
            <v>N</v>
          </cell>
        </row>
        <row r="252">
          <cell r="A252">
            <v>362001</v>
          </cell>
          <cell r="B252" t="str">
            <v>Difusión por radio, televisión y otros medios de mensajes comerciales para promover la venta de bienes o servicios</v>
          </cell>
          <cell r="C252" t="str">
            <v>S</v>
          </cell>
        </row>
        <row r="253">
          <cell r="A253">
            <v>362002</v>
          </cell>
          <cell r="B253" t="str">
            <v>Difusión por radio, televisión y otros medios de mensajes comerciales para promover la venta de bienes o servicios, fuera del país</v>
          </cell>
          <cell r="C253" t="str">
            <v>S</v>
          </cell>
        </row>
        <row r="254">
          <cell r="A254">
            <v>363000</v>
          </cell>
          <cell r="B254" t="str">
            <v>Servicios de creatividad, preproducción y producción de publicidad, excepto Internet</v>
          </cell>
          <cell r="C254" t="str">
            <v>N</v>
          </cell>
        </row>
        <row r="255">
          <cell r="A255">
            <v>363001</v>
          </cell>
          <cell r="B255" t="str">
            <v>Servicios de Producción y Diseño Publicitario</v>
          </cell>
          <cell r="C255" t="str">
            <v>S</v>
          </cell>
        </row>
        <row r="256">
          <cell r="A256">
            <v>364000</v>
          </cell>
          <cell r="B256" t="str">
            <v>Servicios de revelado de fotografías</v>
          </cell>
          <cell r="C256" t="str">
            <v>N</v>
          </cell>
        </row>
        <row r="257">
          <cell r="A257">
            <v>364001</v>
          </cell>
          <cell r="B257" t="str">
            <v>Revelado de Fotografías</v>
          </cell>
          <cell r="C257" t="str">
            <v>S</v>
          </cell>
        </row>
        <row r="258">
          <cell r="A258">
            <v>365000</v>
          </cell>
          <cell r="B258" t="str">
            <v>Servicios de la industria fílmica, del sonido y del video</v>
          </cell>
          <cell r="C258" t="str">
            <v>N</v>
          </cell>
        </row>
        <row r="259">
          <cell r="A259">
            <v>365001</v>
          </cell>
          <cell r="B259" t="str">
            <v>Servicios de la industria fílmica, del sonido y del video</v>
          </cell>
          <cell r="C259" t="str">
            <v>S</v>
          </cell>
        </row>
        <row r="260">
          <cell r="A260">
            <v>366000</v>
          </cell>
          <cell r="B260" t="str">
            <v>Servicio de creación y difusión de contenido exclusivamente a través de Internet</v>
          </cell>
          <cell r="C260" t="str">
            <v>N</v>
          </cell>
        </row>
        <row r="261">
          <cell r="A261">
            <v>366001</v>
          </cell>
          <cell r="B261" t="str">
            <v>Gastos de difusión a través de internet</v>
          </cell>
          <cell r="C261" t="str">
            <v>S</v>
          </cell>
        </row>
        <row r="262">
          <cell r="A262">
            <v>369000</v>
          </cell>
          <cell r="B262" t="str">
            <v>Otros servicios de información</v>
          </cell>
          <cell r="C262" t="str">
            <v>N</v>
          </cell>
        </row>
        <row r="263">
          <cell r="A263">
            <v>369001</v>
          </cell>
          <cell r="B263" t="str">
            <v>Monitoreo de Información y Encuestas</v>
          </cell>
          <cell r="C263" t="str">
            <v>S</v>
          </cell>
        </row>
        <row r="264">
          <cell r="A264">
            <v>370000</v>
          </cell>
          <cell r="B264" t="str">
            <v>SERVICIOS DE TRASLADO Y VIÁTICOS</v>
          </cell>
          <cell r="C264" t="str">
            <v>N</v>
          </cell>
        </row>
        <row r="265">
          <cell r="A265">
            <v>371000</v>
          </cell>
          <cell r="B265" t="str">
            <v>Pasajes aéreos</v>
          </cell>
          <cell r="C265" t="str">
            <v>N</v>
          </cell>
        </row>
        <row r="266">
          <cell r="A266">
            <v>371001</v>
          </cell>
          <cell r="B266" t="str">
            <v>Pasajes aéreos</v>
          </cell>
          <cell r="C266" t="str">
            <v>S</v>
          </cell>
        </row>
        <row r="267">
          <cell r="A267">
            <v>372000</v>
          </cell>
          <cell r="B267" t="str">
            <v>Pasajes terrestres</v>
          </cell>
          <cell r="C267" t="str">
            <v>N</v>
          </cell>
        </row>
        <row r="268">
          <cell r="A268">
            <v>372001</v>
          </cell>
          <cell r="B268" t="str">
            <v>Pasajes terrestres</v>
          </cell>
          <cell r="C268" t="str">
            <v>S</v>
          </cell>
        </row>
        <row r="269">
          <cell r="A269">
            <v>373000</v>
          </cell>
          <cell r="B269" t="str">
            <v>Pasajes marítimos, lacustres y fluviales</v>
          </cell>
          <cell r="C269" t="str">
            <v>N</v>
          </cell>
        </row>
        <row r="270">
          <cell r="A270">
            <v>373001</v>
          </cell>
          <cell r="B270" t="str">
            <v>Pasajes marítimos</v>
          </cell>
          <cell r="C270" t="str">
            <v>S</v>
          </cell>
        </row>
        <row r="271">
          <cell r="A271">
            <v>374000</v>
          </cell>
          <cell r="B271" t="str">
            <v>Autotransporte</v>
          </cell>
          <cell r="C271" t="str">
            <v>N</v>
          </cell>
        </row>
        <row r="272">
          <cell r="A272">
            <v>374001</v>
          </cell>
          <cell r="B272" t="str">
            <v>Autotransporte</v>
          </cell>
          <cell r="C272" t="str">
            <v>S</v>
          </cell>
        </row>
        <row r="273">
          <cell r="A273">
            <v>375000</v>
          </cell>
          <cell r="B273" t="str">
            <v>Viáticos en el país</v>
          </cell>
          <cell r="C273" t="str">
            <v>N</v>
          </cell>
        </row>
        <row r="274">
          <cell r="A274">
            <v>375001</v>
          </cell>
          <cell r="B274" t="str">
            <v>Viáticos</v>
          </cell>
          <cell r="C274" t="str">
            <v>S</v>
          </cell>
        </row>
        <row r="275">
          <cell r="A275">
            <v>376000</v>
          </cell>
          <cell r="B275" t="str">
            <v>Viáticos en el extranjero</v>
          </cell>
          <cell r="C275" t="str">
            <v>N</v>
          </cell>
        </row>
        <row r="276">
          <cell r="A276">
            <v>376001</v>
          </cell>
          <cell r="B276" t="str">
            <v>Viáticos en el extranjero</v>
          </cell>
          <cell r="C276" t="str">
            <v>S</v>
          </cell>
        </row>
        <row r="277">
          <cell r="A277">
            <v>377000</v>
          </cell>
          <cell r="B277" t="str">
            <v>Gastos de instalación y traslado de menaje</v>
          </cell>
          <cell r="C277" t="str">
            <v>N</v>
          </cell>
        </row>
        <row r="278">
          <cell r="A278">
            <v>377001</v>
          </cell>
          <cell r="B278" t="str">
            <v>Gastos de instalación y traslado de menaje</v>
          </cell>
          <cell r="C278" t="str">
            <v>S</v>
          </cell>
        </row>
        <row r="279">
          <cell r="A279">
            <v>378000</v>
          </cell>
          <cell r="B279" t="str">
            <v>Servicios integrales de traslado y viáticos</v>
          </cell>
          <cell r="C279" t="str">
            <v>N</v>
          </cell>
        </row>
        <row r="280">
          <cell r="A280">
            <v>378001</v>
          </cell>
          <cell r="B280" t="str">
            <v>Diligencias judiciales</v>
          </cell>
          <cell r="C280" t="str">
            <v>S</v>
          </cell>
        </row>
        <row r="281">
          <cell r="A281">
            <v>379000</v>
          </cell>
          <cell r="B281" t="str">
            <v>Otros servicios de traslado y hospedaje</v>
          </cell>
          <cell r="C281" t="str">
            <v>N</v>
          </cell>
        </row>
        <row r="282">
          <cell r="A282">
            <v>379001</v>
          </cell>
          <cell r="B282" t="str">
            <v>Traslado de vehículos</v>
          </cell>
          <cell r="C282" t="str">
            <v>S</v>
          </cell>
        </row>
        <row r="283">
          <cell r="A283">
            <v>379002</v>
          </cell>
          <cell r="B283" t="str">
            <v>Gastos de traslado de personas</v>
          </cell>
          <cell r="C283" t="str">
            <v>S</v>
          </cell>
        </row>
        <row r="284">
          <cell r="A284">
            <v>379003</v>
          </cell>
          <cell r="B284" t="str">
            <v>Hospedaje de personas</v>
          </cell>
          <cell r="C284" t="str">
            <v>S</v>
          </cell>
        </row>
        <row r="285">
          <cell r="A285">
            <v>380000</v>
          </cell>
          <cell r="B285" t="str">
            <v>SERVICIOS OFICIALES</v>
          </cell>
          <cell r="C285" t="str">
            <v>N</v>
          </cell>
        </row>
        <row r="286">
          <cell r="A286">
            <v>381000</v>
          </cell>
          <cell r="B286" t="str">
            <v>Gastos de ceremonial</v>
          </cell>
          <cell r="C286" t="str">
            <v>N</v>
          </cell>
        </row>
        <row r="287">
          <cell r="A287">
            <v>381001</v>
          </cell>
          <cell r="B287" t="str">
            <v>Atención a personalidades nacionales y extranjeras</v>
          </cell>
          <cell r="C287" t="str">
            <v>S</v>
          </cell>
        </row>
        <row r="288">
          <cell r="A288">
            <v>382000</v>
          </cell>
          <cell r="B288" t="str">
            <v>Gastos de orden social y cultural</v>
          </cell>
          <cell r="C288" t="str">
            <v>N</v>
          </cell>
        </row>
        <row r="289">
          <cell r="A289">
            <v>382001</v>
          </cell>
          <cell r="B289" t="str">
            <v>Espectáculos y actividades culturales</v>
          </cell>
          <cell r="C289" t="str">
            <v>S</v>
          </cell>
        </row>
        <row r="290">
          <cell r="A290">
            <v>382002</v>
          </cell>
          <cell r="B290" t="str">
            <v>Gastos de recepción, conmemorativos y de orden social</v>
          </cell>
          <cell r="C290" t="str">
            <v>S</v>
          </cell>
        </row>
        <row r="291">
          <cell r="A291">
            <v>382003</v>
          </cell>
          <cell r="B291" t="str">
            <v>Adaptaciones para eventos sociales y culturales</v>
          </cell>
          <cell r="C291" t="str">
            <v>S</v>
          </cell>
        </row>
        <row r="292">
          <cell r="A292">
            <v>382004</v>
          </cell>
          <cell r="B292" t="str">
            <v>Festividades y Eventos</v>
          </cell>
          <cell r="C292" t="str">
            <v>S</v>
          </cell>
        </row>
        <row r="293">
          <cell r="A293">
            <v>383000</v>
          </cell>
          <cell r="B293" t="str">
            <v>Congresos y convenciones</v>
          </cell>
          <cell r="C293" t="str">
            <v>N</v>
          </cell>
        </row>
        <row r="294">
          <cell r="A294">
            <v>383001</v>
          </cell>
          <cell r="B294" t="str">
            <v>Congresos y convenciones</v>
          </cell>
          <cell r="C294" t="str">
            <v>S</v>
          </cell>
        </row>
        <row r="295">
          <cell r="A295">
            <v>384000</v>
          </cell>
          <cell r="B295" t="str">
            <v>Exposiciones</v>
          </cell>
          <cell r="C295" t="str">
            <v>N</v>
          </cell>
        </row>
        <row r="296">
          <cell r="A296">
            <v>384001</v>
          </cell>
          <cell r="B296" t="str">
            <v>Exposiciones</v>
          </cell>
          <cell r="C296" t="str">
            <v>S</v>
          </cell>
        </row>
        <row r="297">
          <cell r="A297">
            <v>385000</v>
          </cell>
          <cell r="B297" t="str">
            <v>Gastos de representación</v>
          </cell>
          <cell r="C297" t="str">
            <v>N</v>
          </cell>
        </row>
        <row r="298">
          <cell r="A298">
            <v>385001</v>
          </cell>
          <cell r="B298" t="str">
            <v>Gastos de representación</v>
          </cell>
          <cell r="C298" t="str">
            <v>S</v>
          </cell>
        </row>
        <row r="299">
          <cell r="A299">
            <v>390000</v>
          </cell>
          <cell r="B299" t="str">
            <v>OTROS SERVICIOS GENERALES</v>
          </cell>
          <cell r="C299" t="str">
            <v>N</v>
          </cell>
        </row>
        <row r="300">
          <cell r="A300">
            <v>391000</v>
          </cell>
          <cell r="B300" t="str">
            <v>Servicios funerarios y de cementerios</v>
          </cell>
          <cell r="C300" t="str">
            <v>N</v>
          </cell>
        </row>
        <row r="301">
          <cell r="A301">
            <v>391001</v>
          </cell>
          <cell r="B301" t="str">
            <v>Servicios funerarios y de cementerios</v>
          </cell>
          <cell r="C301" t="str">
            <v>S</v>
          </cell>
        </row>
        <row r="302">
          <cell r="A302">
            <v>392000</v>
          </cell>
          <cell r="B302" t="str">
            <v>Impuestos y derechos</v>
          </cell>
          <cell r="C302" t="str">
            <v>N</v>
          </cell>
        </row>
        <row r="303">
          <cell r="A303">
            <v>392001</v>
          </cell>
          <cell r="B303" t="str">
            <v>Impuestos y derechos</v>
          </cell>
          <cell r="C303" t="str">
            <v>S</v>
          </cell>
        </row>
        <row r="304">
          <cell r="A304">
            <v>393000</v>
          </cell>
          <cell r="B304" t="str">
            <v>Impuestos y derechos de importación</v>
          </cell>
          <cell r="C304" t="str">
            <v>N</v>
          </cell>
        </row>
        <row r="305">
          <cell r="A305">
            <v>393001</v>
          </cell>
          <cell r="B305" t="str">
            <v>Impuestos y derechos de importación</v>
          </cell>
          <cell r="C305" t="str">
            <v>S</v>
          </cell>
        </row>
        <row r="306">
          <cell r="A306">
            <v>394000</v>
          </cell>
          <cell r="B306" t="str">
            <v>Sentencias y resoluciones judiciales</v>
          </cell>
          <cell r="C306" t="str">
            <v>N</v>
          </cell>
        </row>
        <row r="307">
          <cell r="A307">
            <v>394001</v>
          </cell>
          <cell r="B307" t="str">
            <v>Sentencias y resoluciones judiciales</v>
          </cell>
          <cell r="C307" t="str">
            <v>S</v>
          </cell>
        </row>
        <row r="308">
          <cell r="A308">
            <v>395000</v>
          </cell>
          <cell r="B308" t="str">
            <v>Penas, multas, accesorios y actualizaciones</v>
          </cell>
          <cell r="C308" t="str">
            <v>N</v>
          </cell>
        </row>
        <row r="309">
          <cell r="A309">
            <v>395001</v>
          </cell>
          <cell r="B309" t="str">
            <v>Penas, multas, accesorios y actualizaciones</v>
          </cell>
          <cell r="C309" t="str">
            <v>S</v>
          </cell>
        </row>
        <row r="310">
          <cell r="A310">
            <v>396000</v>
          </cell>
          <cell r="B310" t="str">
            <v>Otros gastos por responsabilidades</v>
          </cell>
          <cell r="C310" t="str">
            <v>N</v>
          </cell>
        </row>
        <row r="311">
          <cell r="A311">
            <v>396001</v>
          </cell>
          <cell r="B311" t="str">
            <v>Otros gastos por responsabilidades</v>
          </cell>
          <cell r="C311" t="str">
            <v>S</v>
          </cell>
        </row>
        <row r="312">
          <cell r="A312">
            <v>399000</v>
          </cell>
          <cell r="B312" t="str">
            <v>Otros servicios generales</v>
          </cell>
          <cell r="C312" t="str">
            <v>N</v>
          </cell>
        </row>
        <row r="313">
          <cell r="A313">
            <v>399001</v>
          </cell>
          <cell r="B313" t="str">
            <v>Gastos menores</v>
          </cell>
          <cell r="C313" t="str">
            <v>S</v>
          </cell>
        </row>
        <row r="314">
          <cell r="A314">
            <v>399002</v>
          </cell>
          <cell r="B314" t="str">
            <v>Retribuciones a reos</v>
          </cell>
          <cell r="C314" t="str">
            <v>S</v>
          </cell>
        </row>
        <row r="315">
          <cell r="A315">
            <v>399003</v>
          </cell>
          <cell r="B315" t="str">
            <v>Otros servicios de la administración pública</v>
          </cell>
          <cell r="C315" t="str">
            <v>S</v>
          </cell>
        </row>
        <row r="316">
          <cell r="A316">
            <v>399004</v>
          </cell>
          <cell r="B316" t="str">
            <v>Previsión Arrendamientos</v>
          </cell>
          <cell r="C316" t="str">
            <v>Prev</v>
          </cell>
        </row>
        <row r="317">
          <cell r="A317">
            <v>500000</v>
          </cell>
          <cell r="B317" t="str">
            <v>BIENES MUEBLES, INMUEBLES E INTANGIBLES</v>
          </cell>
          <cell r="C317" t="str">
            <v>N</v>
          </cell>
        </row>
        <row r="318">
          <cell r="A318">
            <v>510000</v>
          </cell>
          <cell r="B318" t="str">
            <v>MOBILIARIO Y EQUIPO DE ADMINISTRACIÓN</v>
          </cell>
          <cell r="C318" t="str">
            <v>N</v>
          </cell>
        </row>
        <row r="319">
          <cell r="A319">
            <v>511000</v>
          </cell>
          <cell r="B319" t="str">
            <v>Muebles de oficina y estantería</v>
          </cell>
          <cell r="C319" t="str">
            <v>N</v>
          </cell>
        </row>
        <row r="320">
          <cell r="A320">
            <v>511001</v>
          </cell>
          <cell r="B320" t="str">
            <v>Mobiliario</v>
          </cell>
          <cell r="C320" t="str">
            <v>S</v>
          </cell>
        </row>
        <row r="321">
          <cell r="A321">
            <v>512000</v>
          </cell>
          <cell r="B321" t="str">
            <v>Muebles, excepto de oficina y estantería</v>
          </cell>
          <cell r="C321" t="str">
            <v>N</v>
          </cell>
        </row>
        <row r="322">
          <cell r="A322">
            <v>512001</v>
          </cell>
          <cell r="B322" t="str">
            <v>Muebles, excepto de oficina y estantería</v>
          </cell>
          <cell r="C322" t="str">
            <v>S</v>
          </cell>
        </row>
        <row r="323">
          <cell r="A323">
            <v>513000</v>
          </cell>
          <cell r="B323" t="str">
            <v>Bienes artísticos, culturales y científicos</v>
          </cell>
          <cell r="C323" t="str">
            <v>N</v>
          </cell>
        </row>
        <row r="324">
          <cell r="A324">
            <v>513001</v>
          </cell>
          <cell r="B324" t="str">
            <v>Bienes artísticos y culturales</v>
          </cell>
          <cell r="C324" t="str">
            <v>S</v>
          </cell>
        </row>
        <row r="325">
          <cell r="A325">
            <v>514000</v>
          </cell>
          <cell r="B325" t="str">
            <v>Objetos de valor</v>
          </cell>
          <cell r="C325" t="str">
            <v>N</v>
          </cell>
        </row>
        <row r="326">
          <cell r="A326">
            <v>514001</v>
          </cell>
          <cell r="B326" t="str">
            <v>Objetos de valor</v>
          </cell>
          <cell r="C326" t="str">
            <v>S</v>
          </cell>
        </row>
        <row r="327">
          <cell r="A327">
            <v>515000</v>
          </cell>
          <cell r="B327" t="str">
            <v>Equipo de cómputo y de tecnologías de la información</v>
          </cell>
          <cell r="C327" t="str">
            <v>N</v>
          </cell>
        </row>
        <row r="328">
          <cell r="A328">
            <v>515001</v>
          </cell>
          <cell r="B328" t="str">
            <v>Equipo de administración</v>
          </cell>
          <cell r="C328" t="str">
            <v>S</v>
          </cell>
        </row>
        <row r="329">
          <cell r="A329">
            <v>515002</v>
          </cell>
          <cell r="B329" t="str">
            <v>Equipo de Cómputo y Aparatos de Uso Informático</v>
          </cell>
          <cell r="C329" t="str">
            <v>S</v>
          </cell>
        </row>
        <row r="330">
          <cell r="A330">
            <v>515003</v>
          </cell>
          <cell r="B330" t="str">
            <v>Sistemas de Rastreo Satelital (GPS)</v>
          </cell>
          <cell r="C330" t="str">
            <v>S</v>
          </cell>
        </row>
        <row r="331">
          <cell r="A331">
            <v>519000</v>
          </cell>
          <cell r="B331" t="str">
            <v>Otros mobiliarios y equipos de administración</v>
          </cell>
          <cell r="C331" t="str">
            <v>N</v>
          </cell>
        </row>
        <row r="332">
          <cell r="A332">
            <v>519001</v>
          </cell>
          <cell r="B332" t="str">
            <v>Cámaras y Circuitos Cerrados de Seguridad</v>
          </cell>
          <cell r="C332" t="str">
            <v>S</v>
          </cell>
        </row>
        <row r="333">
          <cell r="A333">
            <v>519002</v>
          </cell>
          <cell r="B333" t="str">
            <v>Equipos de Audio</v>
          </cell>
          <cell r="C333" t="str">
            <v>S</v>
          </cell>
        </row>
        <row r="334">
          <cell r="A334">
            <v>519003</v>
          </cell>
          <cell r="B334" t="str">
            <v>Otras Herramientas, Mobiliarios y Eq. De Administración</v>
          </cell>
          <cell r="C334" t="str">
            <v>S</v>
          </cell>
        </row>
        <row r="335">
          <cell r="A335">
            <v>519004</v>
          </cell>
          <cell r="B335" t="str">
            <v>Aulas Móviles de Vigilancia</v>
          </cell>
          <cell r="C335" t="str">
            <v>S</v>
          </cell>
        </row>
        <row r="336">
          <cell r="A336">
            <v>520000</v>
          </cell>
          <cell r="B336" t="str">
            <v>MOBILIARIO Y EQUIPO EDUCACIONAL Y RECREATIVO</v>
          </cell>
          <cell r="C336" t="str">
            <v>N</v>
          </cell>
        </row>
        <row r="337">
          <cell r="A337">
            <v>521000</v>
          </cell>
          <cell r="B337" t="str">
            <v>Equipos y aparatos audiovisuales</v>
          </cell>
          <cell r="C337" t="str">
            <v>N</v>
          </cell>
        </row>
        <row r="338">
          <cell r="A338">
            <v>521001</v>
          </cell>
          <cell r="B338" t="str">
            <v>Equipo educacional y recreativo</v>
          </cell>
          <cell r="C338" t="str">
            <v>S</v>
          </cell>
        </row>
        <row r="339">
          <cell r="A339">
            <v>522000</v>
          </cell>
          <cell r="B339" t="str">
            <v>Aparatos deportivos</v>
          </cell>
          <cell r="C339" t="str">
            <v>N</v>
          </cell>
        </row>
        <row r="340">
          <cell r="A340">
            <v>522001</v>
          </cell>
          <cell r="B340" t="str">
            <v>Aparatos deportivos</v>
          </cell>
          <cell r="C340" t="str">
            <v>S</v>
          </cell>
        </row>
        <row r="341">
          <cell r="A341">
            <v>523000</v>
          </cell>
          <cell r="B341" t="str">
            <v>Cámaras fotográficas y de video</v>
          </cell>
          <cell r="C341" t="str">
            <v>N</v>
          </cell>
        </row>
        <row r="342">
          <cell r="A342">
            <v>523001</v>
          </cell>
          <cell r="B342" t="str">
            <v>Cámaras Fotográficas</v>
          </cell>
          <cell r="C342" t="str">
            <v>S</v>
          </cell>
        </row>
        <row r="343">
          <cell r="A343">
            <v>523002</v>
          </cell>
          <cell r="B343" t="str">
            <v>Cámaras de Video</v>
          </cell>
          <cell r="C343" t="str">
            <v>S</v>
          </cell>
        </row>
        <row r="344">
          <cell r="A344">
            <v>529000</v>
          </cell>
          <cell r="B344" t="str">
            <v>Otro mobiliario y equipo educacional y recreativo</v>
          </cell>
          <cell r="C344" t="str">
            <v>N</v>
          </cell>
        </row>
        <row r="345">
          <cell r="A345">
            <v>529001</v>
          </cell>
          <cell r="B345" t="str">
            <v>Instrumentos Musicales</v>
          </cell>
          <cell r="C345" t="str">
            <v>S</v>
          </cell>
        </row>
        <row r="346">
          <cell r="A346">
            <v>529002</v>
          </cell>
          <cell r="B346" t="str">
            <v>Equipo Educacional</v>
          </cell>
          <cell r="C346" t="str">
            <v>S</v>
          </cell>
        </row>
        <row r="347">
          <cell r="A347">
            <v>530000</v>
          </cell>
          <cell r="B347" t="str">
            <v>EQUIPO E INSTRUMENTAL MÉDICO Y DE LABORATORIO</v>
          </cell>
          <cell r="C347" t="str">
            <v>N</v>
          </cell>
        </row>
        <row r="348">
          <cell r="A348">
            <v>531000</v>
          </cell>
          <cell r="B348" t="str">
            <v>Equipo médico y de laboratorio</v>
          </cell>
          <cell r="C348" t="str">
            <v>N</v>
          </cell>
        </row>
        <row r="349">
          <cell r="A349">
            <v>531001</v>
          </cell>
          <cell r="B349" t="str">
            <v>Equipo e instrumental medico</v>
          </cell>
          <cell r="C349" t="str">
            <v>S</v>
          </cell>
        </row>
        <row r="350">
          <cell r="A350">
            <v>532000</v>
          </cell>
          <cell r="B350" t="str">
            <v>Instrumental médico y de laboratorio</v>
          </cell>
          <cell r="C350" t="str">
            <v>N</v>
          </cell>
        </row>
        <row r="351">
          <cell r="A351">
            <v>532001</v>
          </cell>
          <cell r="B351" t="str">
            <v>Instrumental médico y de laboratorio</v>
          </cell>
          <cell r="C351" t="str">
            <v>S</v>
          </cell>
        </row>
        <row r="352">
          <cell r="A352">
            <v>540000</v>
          </cell>
          <cell r="B352" t="str">
            <v>VEHÍCULOS Y EQUIPO DE TRANSPORTE</v>
          </cell>
          <cell r="C352" t="str">
            <v>N</v>
          </cell>
        </row>
        <row r="353">
          <cell r="A353">
            <v>541000</v>
          </cell>
          <cell r="B353" t="str">
            <v>Automóviles y camiones</v>
          </cell>
          <cell r="C353" t="str">
            <v>N</v>
          </cell>
        </row>
        <row r="354">
          <cell r="A354">
            <v>541001</v>
          </cell>
          <cell r="B354" t="str">
            <v>Vehículos y equipo terrestre</v>
          </cell>
          <cell r="C354" t="str">
            <v>S</v>
          </cell>
        </row>
        <row r="355">
          <cell r="A355">
            <v>542000</v>
          </cell>
          <cell r="B355" t="str">
            <v>Carrocerías y remolques</v>
          </cell>
          <cell r="C355" t="str">
            <v>N</v>
          </cell>
        </row>
        <row r="356">
          <cell r="A356">
            <v>542001</v>
          </cell>
          <cell r="B356" t="str">
            <v>Carrocerías y remolques</v>
          </cell>
          <cell r="C356" t="str">
            <v>S</v>
          </cell>
        </row>
        <row r="357">
          <cell r="A357">
            <v>543000</v>
          </cell>
          <cell r="B357" t="str">
            <v>Equipo aeroespacial</v>
          </cell>
          <cell r="C357" t="str">
            <v>N</v>
          </cell>
        </row>
        <row r="358">
          <cell r="A358">
            <v>543001</v>
          </cell>
          <cell r="B358" t="str">
            <v>Vehículos y equipo de transporte aéreo</v>
          </cell>
          <cell r="C358" t="str">
            <v>S</v>
          </cell>
        </row>
        <row r="359">
          <cell r="A359">
            <v>544000</v>
          </cell>
          <cell r="B359" t="str">
            <v>Equipo ferroviario</v>
          </cell>
          <cell r="C359" t="str">
            <v>N</v>
          </cell>
        </row>
        <row r="360">
          <cell r="A360">
            <v>544001</v>
          </cell>
          <cell r="B360" t="str">
            <v>Equipo ferroviario</v>
          </cell>
          <cell r="C360" t="str">
            <v>S</v>
          </cell>
        </row>
        <row r="361">
          <cell r="A361">
            <v>545000</v>
          </cell>
          <cell r="B361" t="str">
            <v>Embarcaciones</v>
          </cell>
          <cell r="C361" t="str">
            <v>N</v>
          </cell>
        </row>
        <row r="362">
          <cell r="A362">
            <v>545001</v>
          </cell>
          <cell r="B362" t="str">
            <v>Vehículos y equipo marino</v>
          </cell>
          <cell r="C362" t="str">
            <v>S</v>
          </cell>
        </row>
        <row r="363">
          <cell r="A363">
            <v>549000</v>
          </cell>
          <cell r="B363" t="str">
            <v>Otros Equipos de Transporte</v>
          </cell>
          <cell r="C363" t="str">
            <v>N</v>
          </cell>
        </row>
        <row r="364">
          <cell r="A364">
            <v>549001</v>
          </cell>
          <cell r="B364" t="str">
            <v>Otros equipos de transporte</v>
          </cell>
          <cell r="C364" t="str">
            <v>S</v>
          </cell>
        </row>
        <row r="365">
          <cell r="A365">
            <v>550000</v>
          </cell>
          <cell r="B365" t="str">
            <v>EQUIPO DE DEFENSA Y SEGURIDAD</v>
          </cell>
          <cell r="C365" t="str">
            <v>N</v>
          </cell>
        </row>
        <row r="366">
          <cell r="A366">
            <v>551000</v>
          </cell>
          <cell r="B366" t="str">
            <v>Equipo de defensa y seguridad</v>
          </cell>
          <cell r="C366" t="str">
            <v>N</v>
          </cell>
        </row>
        <row r="367">
          <cell r="A367">
            <v>551001</v>
          </cell>
          <cell r="B367" t="str">
            <v>Equipo de defensa y seguridad pública</v>
          </cell>
          <cell r="C367" t="str">
            <v>S</v>
          </cell>
        </row>
        <row r="368">
          <cell r="A368">
            <v>560000</v>
          </cell>
          <cell r="B368" t="str">
            <v>MAQUINARIA, OTROS EQUIPOS Y HERRAMIENTAS</v>
          </cell>
          <cell r="C368" t="str">
            <v>N</v>
          </cell>
        </row>
        <row r="369">
          <cell r="A369">
            <v>561000</v>
          </cell>
          <cell r="B369" t="str">
            <v>Maquinaria y equipo agropecuario</v>
          </cell>
          <cell r="C369" t="str">
            <v>N</v>
          </cell>
        </row>
        <row r="370">
          <cell r="A370">
            <v>561001</v>
          </cell>
          <cell r="B370" t="str">
            <v>Maquinaria y equipo agropecuario, industrial y de construcción</v>
          </cell>
          <cell r="C370" t="str">
            <v>S</v>
          </cell>
        </row>
        <row r="371">
          <cell r="A371">
            <v>562000</v>
          </cell>
          <cell r="B371" t="str">
            <v>Maquinaria y equipo industrial</v>
          </cell>
          <cell r="C371" t="str">
            <v>N</v>
          </cell>
        </row>
        <row r="372">
          <cell r="A372">
            <v>562001</v>
          </cell>
          <cell r="B372" t="str">
            <v>Bombas Industriales</v>
          </cell>
          <cell r="C372" t="str">
            <v>S</v>
          </cell>
        </row>
        <row r="373">
          <cell r="A373">
            <v>563000</v>
          </cell>
          <cell r="B373" t="str">
            <v>Maquinaria y equipo de construcción</v>
          </cell>
          <cell r="C373" t="str">
            <v>N</v>
          </cell>
        </row>
        <row r="374">
          <cell r="A374">
            <v>563001</v>
          </cell>
          <cell r="B374" t="str">
            <v>Maquinaria y equipo de construcción</v>
          </cell>
          <cell r="C374" t="str">
            <v>S</v>
          </cell>
        </row>
        <row r="375">
          <cell r="A375">
            <v>564000</v>
          </cell>
          <cell r="B375" t="str">
            <v>Sistemas de aire acondicionado, calefacción y de refrigeración industrial y comercial</v>
          </cell>
          <cell r="C375" t="str">
            <v>N</v>
          </cell>
        </row>
        <row r="376">
          <cell r="A376">
            <v>564001</v>
          </cell>
          <cell r="B376" t="str">
            <v>Sistemas de aire acondicionado, calefacción y de refrigeración industrial y comercial</v>
          </cell>
          <cell r="C376" t="str">
            <v>S</v>
          </cell>
        </row>
        <row r="377">
          <cell r="A377">
            <v>565000</v>
          </cell>
          <cell r="B377" t="str">
            <v>Equipo de comunicación y telecomunicación</v>
          </cell>
          <cell r="C377" t="str">
            <v>N</v>
          </cell>
        </row>
        <row r="378">
          <cell r="A378">
            <v>565001</v>
          </cell>
          <cell r="B378" t="str">
            <v>Maq. y equipo de telecomunicaciones, eléctrica y electrónica</v>
          </cell>
          <cell r="C378" t="str">
            <v>S</v>
          </cell>
        </row>
        <row r="379">
          <cell r="A379">
            <v>566000</v>
          </cell>
          <cell r="B379" t="str">
            <v>Equipos de generación eléctrica, aparatos y accesorios eléctricos</v>
          </cell>
          <cell r="C379" t="str">
            <v>N</v>
          </cell>
        </row>
        <row r="380">
          <cell r="A380">
            <v>566001</v>
          </cell>
          <cell r="B380" t="str">
            <v>Equipos de generación eléctrica</v>
          </cell>
          <cell r="C380" t="str">
            <v>S</v>
          </cell>
        </row>
        <row r="381">
          <cell r="A381">
            <v>566002</v>
          </cell>
          <cell r="B381" t="str">
            <v>Aparatos y Accesorios eléctricos</v>
          </cell>
          <cell r="C381" t="str">
            <v>S</v>
          </cell>
        </row>
        <row r="382">
          <cell r="A382">
            <v>567000</v>
          </cell>
          <cell r="B382" t="str">
            <v>Herramientas y máquinas-herramienta</v>
          </cell>
          <cell r="C382" t="str">
            <v>N</v>
          </cell>
        </row>
        <row r="383">
          <cell r="A383">
            <v>567001</v>
          </cell>
          <cell r="B383" t="str">
            <v>Herramientas y refacciones mayores</v>
          </cell>
          <cell r="C383" t="str">
            <v>S</v>
          </cell>
        </row>
        <row r="384">
          <cell r="A384">
            <v>569000</v>
          </cell>
          <cell r="B384" t="str">
            <v>Otros equipos</v>
          </cell>
          <cell r="C384" t="str">
            <v>N</v>
          </cell>
        </row>
        <row r="385">
          <cell r="A385">
            <v>569001</v>
          </cell>
          <cell r="B385" t="str">
            <v>Maquinaria y equipo diverso</v>
          </cell>
          <cell r="C385" t="str">
            <v>S</v>
          </cell>
        </row>
        <row r="386">
          <cell r="A386">
            <v>570000</v>
          </cell>
          <cell r="B386" t="str">
            <v>ACTIVOS BIOLÓGICOS</v>
          </cell>
          <cell r="C386" t="str">
            <v>N</v>
          </cell>
        </row>
        <row r="387">
          <cell r="A387">
            <v>571000</v>
          </cell>
          <cell r="B387" t="str">
            <v>Bovinos</v>
          </cell>
          <cell r="C387" t="str">
            <v>N</v>
          </cell>
        </row>
        <row r="388">
          <cell r="A388">
            <v>571001</v>
          </cell>
          <cell r="B388" t="str">
            <v>Bovinos</v>
          </cell>
          <cell r="C388" t="str">
            <v>S</v>
          </cell>
        </row>
        <row r="389">
          <cell r="A389">
            <v>572000</v>
          </cell>
          <cell r="B389" t="str">
            <v>Porcinos</v>
          </cell>
          <cell r="C389" t="str">
            <v>N</v>
          </cell>
        </row>
        <row r="390">
          <cell r="A390">
            <v>572001</v>
          </cell>
          <cell r="B390" t="str">
            <v>Porcinos</v>
          </cell>
          <cell r="C390" t="str">
            <v>S</v>
          </cell>
        </row>
        <row r="391">
          <cell r="A391">
            <v>573000</v>
          </cell>
          <cell r="B391" t="str">
            <v>Aves</v>
          </cell>
          <cell r="C391" t="str">
            <v>N</v>
          </cell>
        </row>
        <row r="392">
          <cell r="A392">
            <v>573001</v>
          </cell>
          <cell r="B392" t="str">
            <v>Aves</v>
          </cell>
          <cell r="C392" t="str">
            <v>S</v>
          </cell>
        </row>
        <row r="393">
          <cell r="A393">
            <v>574000</v>
          </cell>
          <cell r="B393" t="str">
            <v>Ovinos y caprinos</v>
          </cell>
          <cell r="C393" t="str">
            <v>N</v>
          </cell>
        </row>
        <row r="394">
          <cell r="A394">
            <v>574001</v>
          </cell>
          <cell r="B394" t="str">
            <v>Ovinos y caprinos</v>
          </cell>
          <cell r="C394" t="str">
            <v>S</v>
          </cell>
        </row>
        <row r="395">
          <cell r="A395">
            <v>575000</v>
          </cell>
          <cell r="B395" t="str">
            <v>Peces y acuicultura</v>
          </cell>
          <cell r="C395" t="str">
            <v>N</v>
          </cell>
        </row>
        <row r="396">
          <cell r="A396">
            <v>575001</v>
          </cell>
          <cell r="B396" t="str">
            <v>Peces y acuicultura</v>
          </cell>
          <cell r="C396" t="str">
            <v>S</v>
          </cell>
        </row>
        <row r="397">
          <cell r="A397">
            <v>576000</v>
          </cell>
          <cell r="B397" t="str">
            <v>Equinos</v>
          </cell>
          <cell r="C397" t="str">
            <v>N</v>
          </cell>
        </row>
        <row r="398">
          <cell r="A398">
            <v>576001</v>
          </cell>
          <cell r="B398" t="str">
            <v>Equinos</v>
          </cell>
          <cell r="C398" t="str">
            <v>S</v>
          </cell>
        </row>
        <row r="399">
          <cell r="A399">
            <v>577000</v>
          </cell>
          <cell r="B399" t="str">
            <v>Especies menores y de zoológico</v>
          </cell>
          <cell r="C399" t="str">
            <v>N</v>
          </cell>
        </row>
        <row r="400">
          <cell r="A400">
            <v>577001</v>
          </cell>
          <cell r="B400" t="str">
            <v>Especies menores y de zoológico</v>
          </cell>
          <cell r="C400" t="str">
            <v>S</v>
          </cell>
        </row>
        <row r="401">
          <cell r="A401">
            <v>578000</v>
          </cell>
          <cell r="B401" t="str">
            <v>Árboles y plantas</v>
          </cell>
          <cell r="C401" t="str">
            <v>N</v>
          </cell>
        </row>
        <row r="402">
          <cell r="A402">
            <v>578001</v>
          </cell>
          <cell r="B402" t="str">
            <v>Árboles y plantas</v>
          </cell>
          <cell r="C402" t="str">
            <v>S</v>
          </cell>
        </row>
        <row r="403">
          <cell r="A403">
            <v>579000</v>
          </cell>
          <cell r="B403" t="str">
            <v>Otros activos biológicos</v>
          </cell>
          <cell r="C403" t="str">
            <v>N</v>
          </cell>
        </row>
        <row r="404">
          <cell r="A404">
            <v>579001</v>
          </cell>
          <cell r="B404" t="str">
            <v>Otros activos biológicos</v>
          </cell>
          <cell r="C404" t="str">
            <v>S</v>
          </cell>
        </row>
        <row r="405">
          <cell r="A405">
            <v>580000</v>
          </cell>
          <cell r="B405" t="str">
            <v>BIENES INMUEBLES</v>
          </cell>
          <cell r="C405" t="str">
            <v>N</v>
          </cell>
        </row>
        <row r="406">
          <cell r="A406">
            <v>581000</v>
          </cell>
          <cell r="B406" t="str">
            <v>Terrenos</v>
          </cell>
          <cell r="C406" t="str">
            <v>N</v>
          </cell>
        </row>
        <row r="407">
          <cell r="A407">
            <v>581001</v>
          </cell>
          <cell r="B407" t="str">
            <v>Terrenos</v>
          </cell>
          <cell r="C407" t="str">
            <v>S</v>
          </cell>
        </row>
        <row r="408">
          <cell r="A408">
            <v>582000</v>
          </cell>
          <cell r="B408" t="str">
            <v>Viviendas</v>
          </cell>
          <cell r="C408" t="str">
            <v>N</v>
          </cell>
        </row>
        <row r="409">
          <cell r="A409">
            <v>582001</v>
          </cell>
          <cell r="B409" t="str">
            <v>Viviendas</v>
          </cell>
          <cell r="C409" t="str">
            <v>S</v>
          </cell>
        </row>
        <row r="410">
          <cell r="A410">
            <v>583000</v>
          </cell>
          <cell r="B410" t="str">
            <v>Edificios no residenciales</v>
          </cell>
          <cell r="C410" t="str">
            <v>N</v>
          </cell>
        </row>
        <row r="411">
          <cell r="A411">
            <v>583001</v>
          </cell>
          <cell r="B411" t="str">
            <v>Edificios y locales</v>
          </cell>
          <cell r="C411" t="str">
            <v>S</v>
          </cell>
        </row>
        <row r="412">
          <cell r="A412">
            <v>589000</v>
          </cell>
          <cell r="B412" t="str">
            <v>Otros bienes inmuebles</v>
          </cell>
          <cell r="C412" t="str">
            <v>N</v>
          </cell>
        </row>
        <row r="413">
          <cell r="A413">
            <v>589001</v>
          </cell>
          <cell r="B413" t="str">
            <v>Adjudicaciones, expropiaciones e indemnizaciones de inmuebles</v>
          </cell>
          <cell r="C413" t="str">
            <v>S</v>
          </cell>
        </row>
        <row r="414">
          <cell r="A414">
            <v>590000</v>
          </cell>
          <cell r="B414" t="str">
            <v>ACTIVOS INTANGIBLES</v>
          </cell>
          <cell r="C414" t="str">
            <v>N</v>
          </cell>
        </row>
        <row r="415">
          <cell r="A415">
            <v>591000</v>
          </cell>
          <cell r="B415" t="str">
            <v>Software</v>
          </cell>
          <cell r="C415" t="str">
            <v>N</v>
          </cell>
        </row>
        <row r="416">
          <cell r="A416">
            <v>591001</v>
          </cell>
          <cell r="B416" t="str">
            <v>Software</v>
          </cell>
          <cell r="C416" t="str">
            <v>S</v>
          </cell>
        </row>
        <row r="417">
          <cell r="A417">
            <v>592000</v>
          </cell>
          <cell r="B417" t="str">
            <v>Patentes</v>
          </cell>
          <cell r="C417" t="str">
            <v>N</v>
          </cell>
        </row>
        <row r="418">
          <cell r="A418">
            <v>592001</v>
          </cell>
          <cell r="B418" t="str">
            <v>Patentes</v>
          </cell>
          <cell r="C418" t="str">
            <v>S</v>
          </cell>
        </row>
        <row r="419">
          <cell r="A419">
            <v>593000</v>
          </cell>
          <cell r="B419" t="str">
            <v>Marcas</v>
          </cell>
          <cell r="C419" t="str">
            <v>N</v>
          </cell>
        </row>
        <row r="420">
          <cell r="A420">
            <v>593001</v>
          </cell>
          <cell r="B420" t="str">
            <v>Marcas</v>
          </cell>
          <cell r="C420" t="str">
            <v>S</v>
          </cell>
        </row>
        <row r="421">
          <cell r="A421">
            <v>594000</v>
          </cell>
          <cell r="B421" t="str">
            <v>Derechos</v>
          </cell>
          <cell r="C421" t="str">
            <v>N</v>
          </cell>
        </row>
        <row r="422">
          <cell r="A422">
            <v>594001</v>
          </cell>
          <cell r="B422" t="str">
            <v>Derechos</v>
          </cell>
          <cell r="C422" t="str">
            <v>S</v>
          </cell>
        </row>
        <row r="423">
          <cell r="A423">
            <v>595000</v>
          </cell>
          <cell r="B423" t="str">
            <v>Concesiones</v>
          </cell>
          <cell r="C423" t="str">
            <v>N</v>
          </cell>
        </row>
        <row r="424">
          <cell r="A424">
            <v>595001</v>
          </cell>
          <cell r="B424" t="str">
            <v>Concesiones</v>
          </cell>
          <cell r="C424" t="str">
            <v>S</v>
          </cell>
        </row>
        <row r="425">
          <cell r="A425">
            <v>596000</v>
          </cell>
          <cell r="B425" t="str">
            <v>Franquicias</v>
          </cell>
          <cell r="C425" t="str">
            <v>N</v>
          </cell>
        </row>
        <row r="426">
          <cell r="A426">
            <v>596001</v>
          </cell>
          <cell r="B426" t="str">
            <v>Franquicias</v>
          </cell>
          <cell r="C426" t="str">
            <v>S</v>
          </cell>
        </row>
        <row r="427">
          <cell r="A427">
            <v>597000</v>
          </cell>
          <cell r="B427" t="str">
            <v>Licencias informáticas e intelectuales</v>
          </cell>
          <cell r="C427" t="str">
            <v>N</v>
          </cell>
        </row>
        <row r="428">
          <cell r="A428">
            <v>597001</v>
          </cell>
          <cell r="B428" t="str">
            <v>Licencias para programas de antivirus</v>
          </cell>
          <cell r="C428" t="str">
            <v>S</v>
          </cell>
        </row>
        <row r="429">
          <cell r="A429">
            <v>597002</v>
          </cell>
          <cell r="B429" t="str">
            <v>Licencias Microsoft Windows server 2003 edición estándar</v>
          </cell>
          <cell r="C429" t="str">
            <v>S</v>
          </cell>
        </row>
        <row r="430">
          <cell r="A430">
            <v>598000</v>
          </cell>
          <cell r="B430" t="str">
            <v>Licencias industriales, comerciales y otras</v>
          </cell>
          <cell r="C430" t="str">
            <v>N</v>
          </cell>
        </row>
        <row r="431">
          <cell r="A431">
            <v>598001</v>
          </cell>
          <cell r="B431" t="str">
            <v>Licencias industriales, comerciales y otras</v>
          </cell>
          <cell r="C431" t="str">
            <v>S</v>
          </cell>
        </row>
        <row r="432">
          <cell r="A432">
            <v>599000</v>
          </cell>
          <cell r="B432" t="str">
            <v>Otros activos intangibles</v>
          </cell>
          <cell r="C432" t="str">
            <v>N</v>
          </cell>
        </row>
        <row r="433">
          <cell r="A433">
            <v>599001</v>
          </cell>
          <cell r="B433" t="str">
            <v>Otros activos intangibles</v>
          </cell>
          <cell r="C433" t="str">
            <v>S</v>
          </cell>
        </row>
      </sheetData>
      <sheetData sheetId="4">
        <row r="1">
          <cell r="A1" t="str">
            <v>NOMENCLATURA</v>
          </cell>
          <cell r="B1" t="str">
            <v>DESCRPCION</v>
          </cell>
          <cell r="C1"/>
          <cell r="D1"/>
        </row>
        <row r="2">
          <cell r="A2">
            <v>100</v>
          </cell>
          <cell r="B2" t="str">
            <v>INGRESOS PROPIOS Y APROVECHAMIENTOS</v>
          </cell>
          <cell r="C2"/>
          <cell r="D2"/>
        </row>
        <row r="3">
          <cell r="A3">
            <v>101</v>
          </cell>
          <cell r="B3" t="str">
            <v>INGRESOS PROPIOS (IMPUESTOS, DERECHOS, PRODUCTOS Y APROVECHAMIENTOS)</v>
          </cell>
          <cell r="C3"/>
          <cell r="D3"/>
        </row>
        <row r="4">
          <cell r="A4">
            <v>102</v>
          </cell>
          <cell r="B4" t="str">
            <v>INGRESOS PROPIOS</v>
          </cell>
          <cell r="C4"/>
          <cell r="D4"/>
        </row>
        <row r="5">
          <cell r="A5">
            <v>103</v>
          </cell>
          <cell r="B5" t="str">
            <v>INGRESOS PROPIOS APORTACIONES MUNICIPALES</v>
          </cell>
          <cell r="C5"/>
          <cell r="D5"/>
        </row>
        <row r="6">
          <cell r="A6">
            <v>104</v>
          </cell>
          <cell r="B6" t="str">
            <v>APROVECHAMIENTO POR EL USO DE LA I NFRAESTRUCTURA ESTATAL</v>
          </cell>
          <cell r="C6"/>
          <cell r="D6"/>
        </row>
        <row r="7">
          <cell r="A7">
            <v>110</v>
          </cell>
          <cell r="B7" t="str">
            <v>RECURSO F.O.I.S.</v>
          </cell>
          <cell r="C7"/>
          <cell r="D7"/>
        </row>
        <row r="8">
          <cell r="A8">
            <v>111</v>
          </cell>
          <cell r="B8" t="str">
            <v>RECURSO A.P.I.</v>
          </cell>
          <cell r="C8"/>
          <cell r="D8"/>
        </row>
        <row r="9">
          <cell r="A9">
            <v>130</v>
          </cell>
          <cell r="B9" t="str">
            <v>Reintegro con Ingresos Propios Ramo 28</v>
          </cell>
          <cell r="C9"/>
          <cell r="D9"/>
        </row>
        <row r="10">
          <cell r="A10">
            <v>136</v>
          </cell>
          <cell r="B10" t="str">
            <v>Reintegro con Ingresos Propios FONE</v>
          </cell>
          <cell r="C10"/>
          <cell r="D10"/>
        </row>
        <row r="11">
          <cell r="A11">
            <v>137</v>
          </cell>
          <cell r="B11" t="str">
            <v>Reintegro con Ingresos Propios FASSA</v>
          </cell>
          <cell r="C11"/>
          <cell r="D11"/>
        </row>
        <row r="12">
          <cell r="A12">
            <v>138</v>
          </cell>
          <cell r="B12" t="str">
            <v>Reintegro con Ingresos Propios FAIS/FISE</v>
          </cell>
          <cell r="C12"/>
          <cell r="D12"/>
        </row>
        <row r="13">
          <cell r="A13">
            <v>139</v>
          </cell>
          <cell r="B13" t="str">
            <v>Reintegro con Ingresos Propios FAIS/FISM</v>
          </cell>
          <cell r="C13"/>
          <cell r="D13"/>
        </row>
        <row r="14">
          <cell r="A14">
            <v>140</v>
          </cell>
          <cell r="B14" t="str">
            <v>Reintegro con Ingresos Propios FORTAMUN</v>
          </cell>
          <cell r="C14"/>
          <cell r="D14"/>
        </row>
        <row r="15">
          <cell r="A15">
            <v>141</v>
          </cell>
          <cell r="B15" t="str">
            <v>Reintegro con Ingresos Propios FAM/Asistencia Social</v>
          </cell>
          <cell r="C15"/>
          <cell r="D15"/>
        </row>
        <row r="16">
          <cell r="A16">
            <v>142</v>
          </cell>
          <cell r="B16" t="str">
            <v>Reintegro con Ingresos Propios FAM/Infraest. Educación Básica</v>
          </cell>
          <cell r="C16"/>
          <cell r="D16"/>
        </row>
        <row r="17">
          <cell r="A17">
            <v>143</v>
          </cell>
          <cell r="B17" t="str">
            <v>Reintegro con Ingresos Propios FAM/ Infraest. Educación Media Superior y Superior</v>
          </cell>
          <cell r="C17"/>
          <cell r="D17"/>
        </row>
        <row r="18">
          <cell r="A18">
            <v>145</v>
          </cell>
          <cell r="B18" t="str">
            <v>Reintegro con Ingresos Propios FAETA/Educ. Tecnológica (CONALEP)</v>
          </cell>
          <cell r="C18"/>
          <cell r="D18"/>
        </row>
        <row r="19">
          <cell r="A19">
            <v>146</v>
          </cell>
          <cell r="B19" t="str">
            <v>Reintegro con Ingresos Propios FAETA Educ. Adultos (IEEA)</v>
          </cell>
          <cell r="C19"/>
          <cell r="D19"/>
        </row>
        <row r="20">
          <cell r="A20">
            <v>147</v>
          </cell>
          <cell r="B20" t="str">
            <v>Reintegro con Ingresos Propios FASP</v>
          </cell>
          <cell r="C20"/>
          <cell r="D20"/>
        </row>
        <row r="21">
          <cell r="A21">
            <v>148</v>
          </cell>
          <cell r="B21" t="str">
            <v>Reintegro con Ingresos Propios FAFEF</v>
          </cell>
          <cell r="C21"/>
          <cell r="D21"/>
        </row>
        <row r="22">
          <cell r="A22">
            <v>149</v>
          </cell>
          <cell r="B22" t="str">
            <v>Reintegro con Ingresos Propios SEDATU</v>
          </cell>
          <cell r="C22"/>
          <cell r="D22"/>
        </row>
        <row r="23">
          <cell r="A23">
            <v>161</v>
          </cell>
          <cell r="B23" t="str">
            <v>Reintegro con Ingresos Propios CULTURA Ramo 48</v>
          </cell>
          <cell r="C23"/>
          <cell r="D23"/>
        </row>
        <row r="24">
          <cell r="A24">
            <v>162</v>
          </cell>
          <cell r="B24" t="str">
            <v>Reintegro con Ingresos Propios UABCS</v>
          </cell>
          <cell r="C24"/>
          <cell r="D24"/>
        </row>
        <row r="25">
          <cell r="A25">
            <v>163</v>
          </cell>
          <cell r="B25" t="str">
            <v>Reintegro con Ingresos Propios CONAGUA</v>
          </cell>
          <cell r="C25"/>
          <cell r="D25"/>
        </row>
        <row r="26">
          <cell r="A26">
            <v>164</v>
          </cell>
          <cell r="B26" t="str">
            <v>Reintegro con Ingresos Propios SEGOB</v>
          </cell>
          <cell r="C26"/>
          <cell r="D26"/>
        </row>
        <row r="27">
          <cell r="A27">
            <v>165</v>
          </cell>
          <cell r="B27" t="str">
            <v>Reintegro con Ingresos Propios SECTUR</v>
          </cell>
          <cell r="C27"/>
          <cell r="D27"/>
        </row>
        <row r="28">
          <cell r="A28">
            <v>166</v>
          </cell>
          <cell r="B28" t="str">
            <v>Reintegro con Ingresos Propios PROFIS</v>
          </cell>
          <cell r="C28"/>
          <cell r="D28"/>
        </row>
        <row r="29">
          <cell r="A29">
            <v>167</v>
          </cell>
          <cell r="B29" t="str">
            <v>Reintegro con Ingresos Propios SSP</v>
          </cell>
          <cell r="C29"/>
          <cell r="D29"/>
        </row>
        <row r="30">
          <cell r="A30">
            <v>168</v>
          </cell>
          <cell r="B30" t="str">
            <v>Reintegro con Ingresos Propios COBACH</v>
          </cell>
          <cell r="C30"/>
          <cell r="D30"/>
        </row>
        <row r="31">
          <cell r="A31">
            <v>169</v>
          </cell>
          <cell r="B31" t="str">
            <v>Reintegro con Ingresos Propios Fondo Proporcional Peso a Peso</v>
          </cell>
          <cell r="C31"/>
          <cell r="D31"/>
        </row>
        <row r="32">
          <cell r="A32">
            <v>170</v>
          </cell>
          <cell r="B32" t="str">
            <v>Reintegro con Ingresos Propios CECYTE</v>
          </cell>
          <cell r="C32"/>
          <cell r="D32"/>
        </row>
        <row r="33">
          <cell r="A33">
            <v>171</v>
          </cell>
          <cell r="B33" t="str">
            <v>Reintegro con Ingresos Propios Imp. Ref. Penal (SETEC)</v>
          </cell>
          <cell r="C33"/>
          <cell r="D33"/>
        </row>
        <row r="34">
          <cell r="A34">
            <v>172</v>
          </cell>
          <cell r="B34" t="str">
            <v>Reintegro con Ingresos Propios CONADE</v>
          </cell>
          <cell r="C34"/>
          <cell r="D34"/>
        </row>
        <row r="35">
          <cell r="A35">
            <v>173</v>
          </cell>
          <cell r="B35" t="str">
            <v>Reintegro con Ingresos Propios Conv. Salud (Ramo 12)</v>
          </cell>
          <cell r="C35"/>
          <cell r="D35"/>
        </row>
        <row r="36">
          <cell r="A36">
            <v>174</v>
          </cell>
          <cell r="B36" t="str">
            <v>Reintegro con Ingresos Propios Secretaría de Economía</v>
          </cell>
          <cell r="C36"/>
          <cell r="D36"/>
        </row>
        <row r="37">
          <cell r="A37">
            <v>177</v>
          </cell>
          <cell r="B37" t="str">
            <v>Reintegro con Ingresos Propios SUBSEMUN</v>
          </cell>
          <cell r="C37"/>
          <cell r="D37"/>
        </row>
        <row r="38">
          <cell r="A38">
            <v>178</v>
          </cell>
          <cell r="B38" t="str">
            <v>Reintegro con Ingresos Propios Fondo Para La Infraest. de los Estados</v>
          </cell>
          <cell r="C38"/>
          <cell r="D38"/>
        </row>
        <row r="39">
          <cell r="A39">
            <v>179</v>
          </cell>
          <cell r="B39" t="str">
            <v>Reintegro con Ingresos Propios Apoyo Financiero Ext. UABCS</v>
          </cell>
          <cell r="C39"/>
          <cell r="D39"/>
        </row>
        <row r="40">
          <cell r="A40">
            <v>180</v>
          </cell>
          <cell r="B40" t="str">
            <v>Reintegro con Ingresos Propios Apoyo Financiero Ext. ISIFE</v>
          </cell>
          <cell r="C40"/>
          <cell r="D40"/>
        </row>
        <row r="41">
          <cell r="A41">
            <v>181</v>
          </cell>
          <cell r="B41" t="str">
            <v>Reintegro con Ingresos Propios Subs. Policía Estatal Acreditable (SPA)</v>
          </cell>
          <cell r="C41"/>
          <cell r="D41"/>
        </row>
        <row r="42">
          <cell r="A42">
            <v>182</v>
          </cell>
          <cell r="B42" t="str">
            <v>Reintegro con Ingresos Propios PROASP</v>
          </cell>
          <cell r="C42"/>
          <cell r="D42"/>
        </row>
        <row r="43">
          <cell r="A43">
            <v>183</v>
          </cell>
          <cell r="B43" t="str">
            <v>Reintegro con Ingresos Propios Ingresos Extraordinarios</v>
          </cell>
          <cell r="C43"/>
          <cell r="D43"/>
        </row>
        <row r="44">
          <cell r="A44">
            <v>184</v>
          </cell>
          <cell r="B44" t="str">
            <v>Reintegro con Ingresos Propios Ingresos Derivados del 5 Al Millar (Obra)</v>
          </cell>
          <cell r="C44"/>
          <cell r="D44"/>
        </row>
        <row r="45">
          <cell r="A45">
            <v>185</v>
          </cell>
          <cell r="B45" t="str">
            <v>Reintegro con Ingresos Propios Ingresos Extraordinarios Ramo 23</v>
          </cell>
          <cell r="C45"/>
          <cell r="D45"/>
        </row>
        <row r="46">
          <cell r="A46">
            <v>186</v>
          </cell>
          <cell r="B46" t="str">
            <v>Reintegro con Ingresos Propios Ingresos Extraordinarios Ramo 21</v>
          </cell>
          <cell r="C46"/>
          <cell r="D46"/>
        </row>
        <row r="47">
          <cell r="A47">
            <v>187</v>
          </cell>
          <cell r="B47" t="str">
            <v>Reintegro con Ingresos Propios Ingresos Extraordinarios Sep. Ramo 11</v>
          </cell>
          <cell r="C47"/>
          <cell r="D47"/>
        </row>
        <row r="48">
          <cell r="A48">
            <v>188</v>
          </cell>
          <cell r="B48" t="str">
            <v>Reintegro con Ingresos Propios Ingresos Ext. Ramo 09 (SCT)</v>
          </cell>
          <cell r="C48"/>
          <cell r="D48"/>
        </row>
        <row r="49">
          <cell r="A49">
            <v>189</v>
          </cell>
          <cell r="B49" t="str">
            <v>Reintegro con Ingresos Propios Ingresos Ext. Ramo 16 (SEMARNAT)</v>
          </cell>
          <cell r="C49"/>
          <cell r="D49"/>
        </row>
        <row r="50">
          <cell r="A50">
            <v>201</v>
          </cell>
          <cell r="B50" t="str">
            <v>BONO CUPÓN CERO</v>
          </cell>
          <cell r="C50"/>
          <cell r="D50"/>
        </row>
        <row r="51">
          <cell r="A51">
            <v>500</v>
          </cell>
          <cell r="B51" t="str">
            <v>RECURSOS FEDERALES</v>
          </cell>
          <cell r="C51"/>
          <cell r="D51"/>
        </row>
        <row r="52">
          <cell r="A52">
            <v>530</v>
          </cell>
          <cell r="B52" t="str">
            <v>PARTICIPACIONES Ramo 28</v>
          </cell>
          <cell r="C52"/>
          <cell r="D52"/>
        </row>
        <row r="53">
          <cell r="A53">
            <v>535</v>
          </cell>
          <cell r="B53" t="str">
            <v>INTERESES BANCARIOS PROYECTADOS, RECURSOS FEDERALES</v>
          </cell>
          <cell r="C53"/>
          <cell r="D53"/>
        </row>
        <row r="54">
          <cell r="A54">
            <v>536</v>
          </cell>
          <cell r="B54" t="str">
            <v>FONE Ramo 33</v>
          </cell>
          <cell r="C54"/>
          <cell r="D54"/>
        </row>
        <row r="55">
          <cell r="A55">
            <v>537</v>
          </cell>
          <cell r="B55" t="str">
            <v>FASSA Ramo 33</v>
          </cell>
          <cell r="C55"/>
          <cell r="D55"/>
        </row>
        <row r="56">
          <cell r="A56">
            <v>538</v>
          </cell>
          <cell r="B56" t="str">
            <v>FAIS/FISE Ramo 33</v>
          </cell>
          <cell r="C56"/>
          <cell r="D56"/>
        </row>
        <row r="57">
          <cell r="A57">
            <v>539</v>
          </cell>
          <cell r="B57" t="str">
            <v>FAIS/FISM Ramo 33</v>
          </cell>
          <cell r="C57"/>
          <cell r="D57"/>
        </row>
        <row r="58">
          <cell r="A58">
            <v>540</v>
          </cell>
          <cell r="B58" t="str">
            <v>FORTAMUN Ramo 33</v>
          </cell>
          <cell r="C58"/>
          <cell r="D58"/>
        </row>
        <row r="59">
          <cell r="A59">
            <v>541</v>
          </cell>
          <cell r="B59" t="str">
            <v>FAM/ASISTENCIA SOCIAL Ramo 33</v>
          </cell>
          <cell r="C59"/>
          <cell r="D59"/>
        </row>
        <row r="60">
          <cell r="A60">
            <v>542</v>
          </cell>
          <cell r="B60" t="str">
            <v>FAM/INFRAESTRUCTURA DE EDUCACIÓN BÁSICA Ramo 33</v>
          </cell>
          <cell r="C60"/>
          <cell r="D60"/>
        </row>
        <row r="61">
          <cell r="A61">
            <v>543</v>
          </cell>
          <cell r="B61" t="str">
            <v>FAM/EDUCACIÓN MEDIA SUPERIOR Y SUPERIOR Ramo 33</v>
          </cell>
          <cell r="C61"/>
          <cell r="D61"/>
        </row>
        <row r="62">
          <cell r="A62">
            <v>545</v>
          </cell>
          <cell r="B62" t="str">
            <v>FAETA/EDUCACIÓN TECNOLÓGICA ( CONALEP) Ramo 33</v>
          </cell>
          <cell r="C62"/>
          <cell r="D62"/>
        </row>
        <row r="63">
          <cell r="A63">
            <v>546</v>
          </cell>
          <cell r="B63" t="str">
            <v>FAETA/EDUCACIÓN ADULTOS (IEEA) Ramo 33</v>
          </cell>
          <cell r="C63"/>
          <cell r="D63"/>
        </row>
        <row r="64">
          <cell r="A64">
            <v>547</v>
          </cell>
          <cell r="B64" t="str">
            <v>FASP Ramo 33</v>
          </cell>
          <cell r="C64"/>
          <cell r="D64"/>
        </row>
        <row r="65">
          <cell r="A65">
            <v>548</v>
          </cell>
          <cell r="B65" t="str">
            <v>FAFEF Ramo 33</v>
          </cell>
          <cell r="C65"/>
          <cell r="D65"/>
        </row>
        <row r="66">
          <cell r="A66">
            <v>549</v>
          </cell>
          <cell r="B66" t="str">
            <v>SRIA. DE DES. AGRARIO TERRITORIAL Y URBANO (SEDATU) Ramo 15</v>
          </cell>
          <cell r="C66"/>
          <cell r="D66"/>
        </row>
        <row r="67">
          <cell r="A67">
            <v>561</v>
          </cell>
          <cell r="B67" t="str">
            <v>CULTURA FEDERAL Ramo 48</v>
          </cell>
          <cell r="C67"/>
          <cell r="D67"/>
        </row>
        <row r="68">
          <cell r="A68">
            <v>562</v>
          </cell>
          <cell r="B68" t="str">
            <v>UNIVERSIDAD AUTÓNOMA DE B.C.S. Ramo 11</v>
          </cell>
          <cell r="C68"/>
          <cell r="D68"/>
        </row>
        <row r="69">
          <cell r="A69">
            <v>563</v>
          </cell>
          <cell r="B69" t="str">
            <v>CONAGUA Ramo 16</v>
          </cell>
          <cell r="C69"/>
          <cell r="D69"/>
        </row>
        <row r="70">
          <cell r="A70">
            <v>564</v>
          </cell>
          <cell r="B70" t="str">
            <v>SECRETARÍA DE GOBERNACIÓN Ramo 04</v>
          </cell>
          <cell r="C70"/>
          <cell r="D70"/>
        </row>
        <row r="71">
          <cell r="A71">
            <v>565</v>
          </cell>
          <cell r="B71" t="str">
            <v>SECRETARÍA DE TURISMO Ramo 21</v>
          </cell>
          <cell r="C71"/>
          <cell r="D71"/>
        </row>
        <row r="72">
          <cell r="A72">
            <v>566</v>
          </cell>
          <cell r="B72" t="str">
            <v>PROFIS</v>
          </cell>
          <cell r="C72"/>
          <cell r="D72"/>
        </row>
        <row r="73">
          <cell r="A73">
            <v>567</v>
          </cell>
          <cell r="B73" t="str">
            <v>SECRETARÍA DE SEGURIDAD PÚBLICA</v>
          </cell>
          <cell r="C73"/>
          <cell r="D73"/>
        </row>
        <row r="74">
          <cell r="A74">
            <v>568</v>
          </cell>
          <cell r="B74" t="str">
            <v>COBACH Ramo 11</v>
          </cell>
          <cell r="C74"/>
          <cell r="D74"/>
        </row>
        <row r="75">
          <cell r="A75">
            <v>569</v>
          </cell>
          <cell r="B75" t="str">
            <v>FONDO PROPORCIONAL PESO A PESO</v>
          </cell>
          <cell r="C75"/>
          <cell r="D75"/>
        </row>
        <row r="76">
          <cell r="A76">
            <v>570</v>
          </cell>
          <cell r="B76" t="str">
            <v>CECYTE Ramo 11</v>
          </cell>
          <cell r="C76"/>
          <cell r="D76"/>
        </row>
        <row r="77">
          <cell r="A77">
            <v>571</v>
          </cell>
          <cell r="B77" t="str">
            <v>IMPLEMENTACIÓN DE LA REFORMA PENAL (SETEC)</v>
          </cell>
          <cell r="C77"/>
          <cell r="D77"/>
        </row>
        <row r="78">
          <cell r="A78">
            <v>572</v>
          </cell>
          <cell r="B78" t="str">
            <v>CONADE Ramo 11</v>
          </cell>
          <cell r="C78"/>
          <cell r="D78"/>
        </row>
        <row r="79">
          <cell r="A79">
            <v>573</v>
          </cell>
          <cell r="B79" t="str">
            <v>CONVENIOS Ramo 12</v>
          </cell>
          <cell r="C79"/>
          <cell r="D79"/>
        </row>
        <row r="80">
          <cell r="A80">
            <v>574</v>
          </cell>
          <cell r="B80" t="str">
            <v>SECRETARÍA DE ECONOMÍA Ramo 10</v>
          </cell>
          <cell r="C80"/>
          <cell r="D80"/>
        </row>
        <row r="81">
          <cell r="A81">
            <v>577</v>
          </cell>
          <cell r="B81" t="str">
            <v>SUBSIDIO SEGURIDAD PÚBLICA MUNICIPAL</v>
          </cell>
          <cell r="C81"/>
          <cell r="D81"/>
        </row>
        <row r="82">
          <cell r="A82">
            <v>578</v>
          </cell>
          <cell r="B82" t="str">
            <v>FIDEICOMISO PARA LA INFRAESTRUCTURA DE LOS ESTADOS Ramo 23</v>
          </cell>
          <cell r="C82"/>
          <cell r="D82"/>
        </row>
        <row r="83">
          <cell r="A83">
            <v>579</v>
          </cell>
          <cell r="B83" t="str">
            <v>APOYO FINANCIERO EXTRAORDINARIO UABCS Ramo 11</v>
          </cell>
          <cell r="C83"/>
          <cell r="D83"/>
        </row>
        <row r="84">
          <cell r="A84">
            <v>580</v>
          </cell>
          <cell r="B84" t="str">
            <v>APOYO FINANCIERO EXTRAORDINARIO ISIFE Ramo 11</v>
          </cell>
          <cell r="C84"/>
          <cell r="D84"/>
        </row>
        <row r="85">
          <cell r="A85">
            <v>581</v>
          </cell>
          <cell r="B85" t="str">
            <v>SUBSIDIO POLICÍA ESTATAL ACREDITABLE (SPA)</v>
          </cell>
          <cell r="C85"/>
          <cell r="D85"/>
        </row>
        <row r="86">
          <cell r="A86">
            <v>582</v>
          </cell>
          <cell r="B86" t="str">
            <v>PROASP PROG. DE ALCANCE NAL. EN MAT. DE SEG. PUB. Ramo 04</v>
          </cell>
          <cell r="C86"/>
          <cell r="D86"/>
        </row>
        <row r="87">
          <cell r="A87">
            <v>583</v>
          </cell>
          <cell r="B87" t="str">
            <v>INGRESOS EXTRAORDINARIOS</v>
          </cell>
          <cell r="C87"/>
          <cell r="D87"/>
        </row>
        <row r="88">
          <cell r="A88">
            <v>584</v>
          </cell>
          <cell r="B88" t="str">
            <v>INGRESOS DERIVADOS DEL 5 AL MILLAR (OBRA)</v>
          </cell>
          <cell r="C88"/>
          <cell r="D88"/>
        </row>
        <row r="89">
          <cell r="A89">
            <v>585</v>
          </cell>
          <cell r="B89" t="str">
            <v>INGRESOS EXT Ramo 23 ( Provisiones Salariales y Económicas )</v>
          </cell>
          <cell r="C89"/>
          <cell r="D89"/>
        </row>
        <row r="90">
          <cell r="A90">
            <v>586</v>
          </cell>
          <cell r="B90" t="str">
            <v>INGRESOS EXT Ramo 21 (TURISMO)</v>
          </cell>
          <cell r="C90"/>
          <cell r="D90"/>
        </row>
        <row r="91">
          <cell r="A91">
            <v>587</v>
          </cell>
          <cell r="B91" t="str">
            <v>INGRESOS EXT Ramo 11 (SEP)</v>
          </cell>
          <cell r="C91"/>
          <cell r="D91"/>
        </row>
        <row r="92">
          <cell r="A92">
            <v>588</v>
          </cell>
          <cell r="B92" t="str">
            <v>INGRESOS EXT Ramo 09 (SCT)</v>
          </cell>
          <cell r="C92"/>
          <cell r="D92"/>
        </row>
        <row r="93">
          <cell r="A93">
            <v>589</v>
          </cell>
          <cell r="B93" t="str">
            <v>INGRESOS EXT Ramo 16 (SEMARNAT)</v>
          </cell>
          <cell r="C93"/>
          <cell r="D93"/>
        </row>
        <row r="94">
          <cell r="A94">
            <v>590</v>
          </cell>
          <cell r="B94" t="str">
            <v>INGRESOS EXT FORTASEG Ramo 04 (GOBERNACIÓN)</v>
          </cell>
          <cell r="C94"/>
          <cell r="D94"/>
        </row>
        <row r="95">
          <cell r="A95">
            <v>591</v>
          </cell>
          <cell r="B95" t="str">
            <v>INGRESOS EXT Ramo 20 (BIENESTAR)</v>
          </cell>
          <cell r="C95"/>
          <cell r="D95"/>
        </row>
        <row r="96">
          <cell r="A96">
            <v>598</v>
          </cell>
          <cell r="B96" t="str">
            <v>REMANENTE FONE 2016</v>
          </cell>
          <cell r="C96"/>
          <cell r="D96"/>
        </row>
        <row r="97">
          <cell r="A97">
            <v>599</v>
          </cell>
          <cell r="B97" t="str">
            <v>REMANENTE FONE 2015</v>
          </cell>
          <cell r="C97"/>
          <cell r="D97"/>
        </row>
        <row r="98">
          <cell r="A98">
            <v>700</v>
          </cell>
          <cell r="B98" t="str">
            <v>OTROS RECURSOS</v>
          </cell>
          <cell r="C98"/>
          <cell r="D98"/>
        </row>
        <row r="99">
          <cell r="A99">
            <v>736</v>
          </cell>
          <cell r="B99" t="str">
            <v>RENDIMIENTOS FONE</v>
          </cell>
          <cell r="C99"/>
          <cell r="D99"/>
        </row>
        <row r="100">
          <cell r="A100">
            <v>737</v>
          </cell>
          <cell r="B100" t="str">
            <v>RENDIMIENTOS FAM</v>
          </cell>
          <cell r="C100"/>
          <cell r="D100"/>
        </row>
        <row r="101">
          <cell r="A101">
            <v>747</v>
          </cell>
          <cell r="B101" t="str">
            <v>RENDIMIENTOS FASP</v>
          </cell>
          <cell r="C101"/>
          <cell r="D101"/>
        </row>
        <row r="102">
          <cell r="A102">
            <v>783</v>
          </cell>
          <cell r="B102" t="str">
            <v>INGRESOS EXTRAORDINARIOS (OTROS)</v>
          </cell>
          <cell r="C102"/>
          <cell r="D102"/>
        </row>
      </sheetData>
      <sheetData sheetId="5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369AE1BF-574C-4099-ADBA-2397DBF92D6C}" name="Tabla17" displayName="Tabla17" ref="A5:P72" totalsRowCount="1" headerRowDxfId="532" dataDxfId="531" totalsRowDxfId="530" headerRowCellStyle="Énfasis2">
  <tableColumns count="16">
    <tableColumn id="2" xr3:uid="{959705AA-B3FF-4A25-8C22-0A20142EEC25}" name="RAMO/SUBRAMO" dataDxfId="529" totalsRowDxfId="528"/>
    <tableColumn id="4" xr3:uid="{D046DE44-9D97-471C-A26A-4D44CD608D71}" name="PROGRAMA PRESUPUESTARIO" dataDxfId="527" totalsRowDxfId="526"/>
    <tableColumn id="6" xr3:uid="{7A50E8DB-14CC-4BAF-A977-24BEEE5B5D3D}" name="FUENTE DE FINANCIAMIENTO" dataDxfId="525" totalsRowDxfId="524"/>
    <tableColumn id="7" xr3:uid="{CC837FE7-50DA-498F-A74E-79787D75151A}" name="TIPO DE F.F." dataDxfId="523" totalsRowDxfId="522">
      <calculatedColumnFormula>IF(C6&lt;=0,"",VLOOKUP(C6,[12]FF!A:D,2,0))</calculatedColumnFormula>
    </tableColumn>
    <tableColumn id="8" xr3:uid="{A0BF884A-2B7B-4B31-9A61-EB9E9198D91C}" name="UNIDAD RESPONSABLE" dataDxfId="521" totalsRowDxfId="520"/>
    <tableColumn id="17" xr3:uid="{93F345F0-C624-4FFD-A3E8-B248B1C60F37}" name="CAPÍTULO" dataDxfId="519" totalsRowDxfId="518"/>
    <tableColumn id="9" xr3:uid="{D73A141B-CD50-44ED-BB74-CB2F5434AAC4}" name="PARTIDA COG" dataDxfId="517" totalsRowDxfId="516"/>
    <tableColumn id="10" xr3:uid="{29CF8AC0-0A7E-4B16-8726-82AEE820CDE6}" name="DESCRIPCIÓN PARTIDA COG" totalsRowLabel="TOTAL " dataDxfId="515" totalsRowDxfId="514">
      <calculatedColumnFormula>IF(G6&lt;=0,"",VLOOKUP(G6,[12]COG!A:H,2,0))</calculatedColumnFormula>
    </tableColumn>
    <tableColumn id="13" xr3:uid="{D9E5BFE9-8B4E-46F0-882B-F8CE1B61BD64}" name="TRIMESTRE  I" dataDxfId="513" totalsRowDxfId="512"/>
    <tableColumn id="12" xr3:uid="{2EF9161B-F083-4D99-A27A-75347869E671}" name="TRIMESTRE II" dataDxfId="511" totalsRowDxfId="510"/>
    <tableColumn id="3" xr3:uid="{2F6D978C-E6FA-4820-AF8E-95A1F2E0DABD}" name="TRIMESTRE III" dataDxfId="509" totalsRowDxfId="508"/>
    <tableColumn id="1" xr3:uid="{10524596-5E62-4656-BF2A-3C95BBD10B25}" name="TRIMESTRE IV" dataDxfId="507" totalsRowDxfId="506"/>
    <tableColumn id="15" xr3:uid="{EC25F93A-656A-41C5-B44A-1E4C49664760}" name="PRESUPUESTO ANUAL AUTORIZADO " totalsRowFunction="sum" dataDxfId="505" totalsRowDxfId="504">
      <calculatedColumnFormula>SUM(Tabla17[[#This Row],[TRIMESTRE  I]:[TRIMESTRE IV]])</calculatedColumnFormula>
    </tableColumn>
    <tableColumn id="16" xr3:uid="{DD0CF3B9-F698-4707-A514-678C9C7BE81A}" name="PROCEDIM. DE CONTRATACIÓN PROPUESTO" dataDxfId="503" totalsRowDxfId="502"/>
    <tableColumn id="5" xr3:uid="{A6A5966E-2B2F-413E-AC58-72910B8E4994}" name="FECHA ESTIMADA PARA REALIZAR EL PROCEDIMIENTO" dataDxfId="501" totalsRowDxfId="500"/>
    <tableColumn id="11" xr3:uid="{1D2F3A4A-4D94-4D4B-A3FA-387F4E524050}" name="FUNDAMENTO LEGAL" dataDxfId="499" totalsRowDxfId="498"/>
  </tableColumns>
  <tableStyleInfo name="TableStyleMedium20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6C902BB6-497B-4CF9-B383-90D04C929975}" name="Tabla13455" displayName="Tabla13455" ref="A4:P145" totalsRowCount="1" headerRowDxfId="214" dataDxfId="213" totalsRowDxfId="212" totalsRowBorderDxfId="211" headerRowCellStyle="Énfasis2">
  <tableColumns count="16">
    <tableColumn id="2" xr3:uid="{217AFD66-D67F-47C1-AA85-5CE42EB970AC}" name="RAMO/SUBRAMO" dataDxfId="210" totalsRowDxfId="209"/>
    <tableColumn id="4" xr3:uid="{8ADF8CB2-C140-45C2-8F70-1DB2FD6C7BBF}" name="PROGRAMA PRESUPUESTARIO" dataDxfId="208" totalsRowDxfId="207"/>
    <tableColumn id="6" xr3:uid="{1D39A88E-9692-476C-B4DA-0F04DCFAE135}" name="FUENTE DE FINANCIAMIENTO" dataDxfId="206" totalsRowDxfId="205"/>
    <tableColumn id="7" xr3:uid="{98EE70A0-A8D0-42B9-B488-6319476DC5C0}" name="TIPO DE F.F." dataDxfId="204" totalsRowDxfId="203"/>
    <tableColumn id="8" xr3:uid="{EC621E12-E31C-45EB-9A55-E06B7340DF50}" name="UNIDAD RESPONSABLE" dataDxfId="202" totalsRowDxfId="201"/>
    <tableColumn id="17" xr3:uid="{E0D6AEC9-F46D-41EC-AE27-AA8E83121131}" name="CAPÍTULO" dataDxfId="200" totalsRowDxfId="199"/>
    <tableColumn id="9" xr3:uid="{AD04F250-EBD8-45B9-B569-4C8071591A25}" name="PARTIDA COG" dataDxfId="198" totalsRowDxfId="197"/>
    <tableColumn id="10" xr3:uid="{A639DC11-02C5-4A90-8747-DBDE76D2DFF3}" name="DESCRIPCIÓN PARTIDA COG" totalsRowLabel="TOTAL " dataDxfId="196" totalsRowDxfId="195"/>
    <tableColumn id="13" xr3:uid="{CE30C642-E44B-4750-AE63-5798C6833226}" name="TRIMESTRE  I" dataDxfId="194" totalsRowDxfId="193">
      <calculatedColumnFormula>2279+5505+6954</calculatedColumnFormula>
    </tableColumn>
    <tableColumn id="12" xr3:uid="{4A9FA224-3522-4E99-9429-077D1FD81E17}" name="TRIMESTRE II" dataDxfId="192" totalsRowDxfId="191">
      <calculatedColumnFormula>10066+11323+12149</calculatedColumnFormula>
    </tableColumn>
    <tableColumn id="3" xr3:uid="{427DCC81-8688-418D-A1B5-A89AD192EB8A}" name="TRIMESTRE III" dataDxfId="190" totalsRowDxfId="189">
      <calculatedColumnFormula>7650+9313+10562</calculatedColumnFormula>
    </tableColumn>
    <tableColumn id="1" xr3:uid="{601A4EE3-135B-4A52-B54F-219DBA9BBEE8}" name="TRIMESTRE IV" dataDxfId="188" totalsRowDxfId="187">
      <calculatedColumnFormula>9350+7975+6657</calculatedColumnFormula>
    </tableColumn>
    <tableColumn id="15" xr3:uid="{2E255F3A-26DD-4482-A822-B0140162CB96}" name="PRESUPUESTO ANUAL AUTORIZADO " totalsRowFunction="sum" dataDxfId="186" totalsRowDxfId="185"/>
    <tableColumn id="16" xr3:uid="{972FB76C-C310-48E2-8B7B-6EDD3FDC8EB4}" name="PROCEDIM. DE CONTRATACIÓN PROPUESTO" dataDxfId="184" totalsRowDxfId="183"/>
    <tableColumn id="5" xr3:uid="{D103B2EF-2AA2-4B6B-867A-7EABC87AB7FE}" name="FECHA ESTIMADA PARA REALIZAR EL PROCEDIMIENTO" dataDxfId="182" totalsRowDxfId="181"/>
    <tableColumn id="11" xr3:uid="{7723E084-47F8-4B43-B204-680901341131}" name="FUNDAMENTO LEGAL" dataDxfId="180" totalsRowDxfId="179"/>
  </tableColumns>
  <tableStyleInfo name="TableStyleMedium20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7EBE6401-5DC2-431D-B43F-B4B1F98F05CB}" name="Tabla123" displayName="Tabla123" ref="A4:P80" totalsRowCount="1" headerRowDxfId="178" dataDxfId="177" totalsRowDxfId="176" totalsRowBorderDxfId="175" headerRowCellStyle="Énfasis2">
  <autoFilter ref="A4:P79" xr:uid="{2AF40B90-B271-4FEF-9C90-0685547363A7}"/>
  <tableColumns count="16">
    <tableColumn id="2" xr3:uid="{25096A77-DAD3-47E0-8EC9-919A8A5D0023}" name="RAMO/SUBRAMO" dataDxfId="174" totalsRowDxfId="173"/>
    <tableColumn id="4" xr3:uid="{7D9431C9-9254-484E-9C71-A230029800D0}" name="PROGRAMA PRESUPUESTARIO" dataDxfId="172" totalsRowDxfId="171"/>
    <tableColumn id="6" xr3:uid="{93D9C4AA-6885-4A17-B209-6E8E788927F0}" name="FUENTE DE FINANCIAMIENTO" dataDxfId="170" totalsRowDxfId="169"/>
    <tableColumn id="7" xr3:uid="{2EF7BDF9-1D02-4FA9-9DD4-3DB418F74536}" name="TIPO DE F.F." dataDxfId="168" totalsRowDxfId="167"/>
    <tableColumn id="8" xr3:uid="{52E7B154-69BB-431E-A3E5-6A267FF1488C}" name="UNIDAD RESPONSABLE" dataDxfId="166" totalsRowDxfId="165"/>
    <tableColumn id="17" xr3:uid="{768BA8AC-D983-4013-982C-CBE65A2FA92E}" name="CAPÍTULO" dataDxfId="164" totalsRowDxfId="163"/>
    <tableColumn id="9" xr3:uid="{D549F357-0E05-480F-A76C-B119631358B9}" name="PARTIDA COG" dataDxfId="162" totalsRowDxfId="161"/>
    <tableColumn id="10" xr3:uid="{C16D9587-DD3C-4214-8248-DC448454F330}" name="DESCRIPCIÓN PARTIDA COG" totalsRowLabel="TOTAL " dataDxfId="160" totalsRowDxfId="159"/>
    <tableColumn id="13" xr3:uid="{207825CE-CB0D-4DB6-864C-3D3DB6E73FA7}" name="TRIMESTRE  I" dataDxfId="158" totalsRowDxfId="157">
      <calculatedColumnFormula>+Tabla123[[#This Row],[PRESUPUESTO ANUAL AUTORIZADO ]]*0.2</calculatedColumnFormula>
    </tableColumn>
    <tableColumn id="12" xr3:uid="{3E42969D-65D1-4398-BC24-A0EF0A26101F}" name="TRIMESTRE II" dataDxfId="156" totalsRowDxfId="155">
      <calculatedColumnFormula>+Tabla123[[#This Row],[PRESUPUESTO ANUAL AUTORIZADO ]]*0.3</calculatedColumnFormula>
    </tableColumn>
    <tableColumn id="3" xr3:uid="{CB4710BC-568B-40E0-935F-DAFCC361DC02}" name="TRIMESTRE III" dataDxfId="154" totalsRowDxfId="153">
      <calculatedColumnFormula>+Tabla123[[#This Row],[PRESUPUESTO ANUAL AUTORIZADO ]]*0.3</calculatedColumnFormula>
    </tableColumn>
    <tableColumn id="1" xr3:uid="{9F664635-7B7C-4C0A-A070-7024D6217EFF}" name="TRIMESTRE IV" dataDxfId="152" totalsRowDxfId="151">
      <calculatedColumnFormula>+Tabla123[[#This Row],[PRESUPUESTO ANUAL AUTORIZADO ]]*0.2</calculatedColumnFormula>
    </tableColumn>
    <tableColumn id="15" xr3:uid="{3EE82107-27B9-4A6B-9987-C6615F0C7D9A}" name="PRESUPUESTO ANUAL AUTORIZADO " totalsRowFunction="sum" dataDxfId="150" totalsRowDxfId="149"/>
    <tableColumn id="16" xr3:uid="{3045C4A0-00E1-4105-87FC-1CC6586A58C0}" name="PROCEDIM. DE CONTRATACIÓN PROPUESTO" dataDxfId="148" totalsRowDxfId="147"/>
    <tableColumn id="5" xr3:uid="{ABFA9ABD-B7E6-4335-8D69-40013CC82569}" name="FECHA ESTIMADA PARA REALIZAR EL PROCEDIMIENTO" dataDxfId="146" totalsRowDxfId="145"/>
    <tableColumn id="11" xr3:uid="{81C7A1E3-21C2-4EEF-893B-B0DEE8D83B33}" name="FUNDAMENTO LEGAL" dataDxfId="144" totalsRowDxfId="143"/>
  </tableColumns>
  <tableStyleInfo name="TableStyleMedium20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9CB6E526-A0CA-4C33-B006-B783AF026B22}" name="Tabla117" displayName="Tabla117" ref="A4:P81" totalsRowCount="1" headerRowDxfId="142" dataDxfId="141" totalsRowDxfId="140" totalsRowBorderDxfId="139" headerRowCellStyle="Énfasis2">
  <tableColumns count="16">
    <tableColumn id="2" xr3:uid="{0D8E0F18-E926-46C2-B733-9C16ECB8759B}" name="RAMO/SUBRAMO" dataDxfId="138" totalsRowDxfId="137"/>
    <tableColumn id="4" xr3:uid="{CF18B622-20B5-4278-BB08-84FE0E1D574E}" name="PROGRAMA PRESUPUESTARIO" dataDxfId="136" totalsRowDxfId="135"/>
    <tableColumn id="6" xr3:uid="{2FA9AEBB-CD5B-46FC-B1B6-9F01138F33C6}" name="FUENTE DE FINANCIAMIENTO" dataDxfId="134" totalsRowDxfId="133"/>
    <tableColumn id="7" xr3:uid="{BECB2DDA-268D-4CD6-940E-8DE5AE5A1093}" name="TIPO DE F.F." dataDxfId="132" totalsRowDxfId="131"/>
    <tableColumn id="8" xr3:uid="{FC4C8493-A773-49AF-B9C1-7D36A45A783D}" name="UNIDAD RESPONSABLE" dataDxfId="130" totalsRowDxfId="129"/>
    <tableColumn id="17" xr3:uid="{433CFAAE-A122-4DC3-90F8-97A8E44832FA}" name="CAPÍTULO" dataDxfId="128" totalsRowDxfId="127"/>
    <tableColumn id="9" xr3:uid="{98AE7C14-807B-4F58-ACCF-AEC786D802C2}" name="PARTIDA COG" dataDxfId="126" totalsRowDxfId="125"/>
    <tableColumn id="10" xr3:uid="{35B1515B-F058-46E5-9E2A-85761279156C}" name="DESCRIPCIÓN PARTIDA COG" totalsRowLabel="TOTAL " dataDxfId="124" totalsRowDxfId="123"/>
    <tableColumn id="13" xr3:uid="{3278C736-BEAA-45C0-924A-968276918B31}" name="TRIMESTRE  I" dataDxfId="122" totalsRowDxfId="121"/>
    <tableColumn id="12" xr3:uid="{5F3D8C05-D03C-4DD6-A7C6-BDD085CBD293}" name="TRIMESTRE II" dataDxfId="120" totalsRowDxfId="119"/>
    <tableColumn id="3" xr3:uid="{C162CCD6-DD04-471A-9838-2D4DF5373D75}" name="TRIMESTRE III" dataDxfId="118" totalsRowDxfId="117"/>
    <tableColumn id="1" xr3:uid="{21FD819C-5A32-4F2F-8453-CB47F3CCEE1F}" name="TRIMESTRE IV" dataDxfId="116" totalsRowDxfId="115"/>
    <tableColumn id="15" xr3:uid="{FF4B9EE6-5026-40B7-AC66-F662A73329E4}" name="PRESUPUESTO ANUAL AUTORIZADO " totalsRowFunction="sum" dataDxfId="114" totalsRowDxfId="113"/>
    <tableColumn id="16" xr3:uid="{3CB034AF-CE72-480C-BB8C-F1544F5FFF9F}" name="PROCEDIM. DE CONTRATACIÓN PROPUESTO" dataDxfId="112" totalsRowDxfId="111"/>
    <tableColumn id="5" xr3:uid="{BD060EBA-F563-45D3-936F-781C24FF92C7}" name="FECHA ESTIMADA PARA REALIZAR EL PROCEDIMIENTO" dataDxfId="110" totalsRowDxfId="109"/>
    <tableColumn id="11" xr3:uid="{6E830FAE-C695-4E3D-8D0A-A992C35AACA2}" name="FUNDAMENTO LEGAL" dataDxfId="108" totalsRowDxfId="107"/>
  </tableColumns>
  <tableStyleInfo name="TableStyleMedium20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FE64B86-BE31-473E-975A-28D501A53900}" name="Tabla116" displayName="Tabla116" ref="A4:P51" totalsRowCount="1" headerRowDxfId="106" dataDxfId="105" totalsRowDxfId="104" totalsRowBorderDxfId="103" headerRowCellStyle="Énfasis2">
  <tableColumns count="16">
    <tableColumn id="2" xr3:uid="{66A07B9A-F206-4925-97AA-B555A2415EF4}" name="RAMO/SUBRAMO" dataDxfId="102" totalsRowDxfId="101"/>
    <tableColumn id="4" xr3:uid="{88EF5140-51FE-494D-B8DE-D79E2FFBE11F}" name="PROGRAMA PRESUPUESTARIO" dataDxfId="100" totalsRowDxfId="99"/>
    <tableColumn id="6" xr3:uid="{A857CEBB-9FFB-439C-AE32-EB7C8164B5F4}" name="FUENTE DE FINANCIAMIENTO" dataDxfId="98" totalsRowDxfId="97"/>
    <tableColumn id="7" xr3:uid="{EBF87D38-9874-40CC-B7C0-E4E528D726A9}" name="TIPO DE F.F." dataDxfId="96" totalsRowDxfId="95"/>
    <tableColumn id="8" xr3:uid="{2D686B65-A227-4A08-9288-C7BDAA1A1E22}" name="UNIDAD RESPONSABLE" dataDxfId="94" totalsRowDxfId="93"/>
    <tableColumn id="17" xr3:uid="{73DB27B1-DE67-4873-93B2-E641CBCEAC23}" name="CAPÍTULO" dataDxfId="92" totalsRowDxfId="91"/>
    <tableColumn id="9" xr3:uid="{FA7CC965-D994-4951-9515-1D5922FF9AAB}" name="PARTIDA COG" dataDxfId="90" totalsRowDxfId="89"/>
    <tableColumn id="10" xr3:uid="{5C322F1A-0694-417B-929B-DC979290F568}" name="DESCRIPCIÓN PARTIDA COG" totalsRowLabel="TOTAL " dataDxfId="88" totalsRowDxfId="87"/>
    <tableColumn id="13" xr3:uid="{8AE3DF42-A800-459A-943C-6CA8C6A53050}" name="TRIMESTRE  I" dataDxfId="86" totalsRowDxfId="85"/>
    <tableColumn id="12" xr3:uid="{673491FD-61EB-4DED-B2D1-738A6430CAE2}" name="TRIMESTRE II" dataDxfId="84" totalsRowDxfId="83"/>
    <tableColumn id="3" xr3:uid="{C8A3FF29-0258-459C-962A-FDA4EC5960CC}" name="TRIMESTRE III" dataDxfId="82" totalsRowDxfId="81"/>
    <tableColumn id="1" xr3:uid="{21522DEB-1663-4B28-9D8A-74FFBD8CEA28}" name="TRIMESTRE IV" dataDxfId="80" totalsRowDxfId="79"/>
    <tableColumn id="15" xr3:uid="{2E972FF4-99FC-4915-9074-F9D9BC1E4CC7}" name="PRESUPUESTO ANUAL AUTORIZADO " totalsRowFunction="sum" dataDxfId="78" totalsRowDxfId="77"/>
    <tableColumn id="16" xr3:uid="{E1EF3514-A8B8-44C0-9268-2EEB7BF4AB51}" name="PROCEDIM. DE CONTRATACIÓN PROPUESTO" dataDxfId="76" totalsRowDxfId="75"/>
    <tableColumn id="5" xr3:uid="{E261CC18-860D-4A95-A03F-7752D92D4F39}" name="FECHA ESTIMADA PARA REALIZAR EL PROCEDIMIENTO" dataDxfId="74" totalsRowDxfId="73"/>
    <tableColumn id="11" xr3:uid="{DD2E5D43-171B-4A3D-9C49-8317DC9B034E}" name="FUNDAMENTO LEGAL" dataDxfId="72" totalsRowDxfId="71"/>
  </tableColumns>
  <tableStyleInfo name="TableStyleMedium20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76CF003A-6E77-4B15-818B-D4D53D36ECD2}" name="Tabla118" displayName="Tabla118" ref="A4:P17" totalsRowCount="1" headerRowDxfId="70" dataDxfId="69" totalsRowDxfId="68" totalsRowBorderDxfId="67" headerRowCellStyle="Énfasis2">
  <tableColumns count="16">
    <tableColumn id="2" xr3:uid="{911C9AF1-81FA-4C37-A374-738FA0227A9B}" name="RAMO/SUBRAMO" dataDxfId="66" totalsRowDxfId="65"/>
    <tableColumn id="4" xr3:uid="{E438B6F3-B890-492D-8010-8034F32D08A1}" name="PROGRAMA PRESUPUESTARIO" dataDxfId="64" totalsRowDxfId="63"/>
    <tableColumn id="6" xr3:uid="{D9FD333E-86E1-4E4A-9C71-D7DA0000F67E}" name="FUENTE DE FINANCIAMIENTO" dataDxfId="62" totalsRowDxfId="61"/>
    <tableColumn id="7" xr3:uid="{0970C7AC-2B10-4D9F-BABE-41657D98CA9F}" name="TIPO DE F.F." dataDxfId="60" totalsRowDxfId="59"/>
    <tableColumn id="8" xr3:uid="{1476A6D2-2181-4DD1-9224-F51F2AB5857A}" name="UNIDAD RESPONSABLE" dataDxfId="58" totalsRowDxfId="57"/>
    <tableColumn id="17" xr3:uid="{45741611-1A21-4E12-B2C1-0F556C9828A6}" name="CAPÍTULO" dataDxfId="56" totalsRowDxfId="55"/>
    <tableColumn id="9" xr3:uid="{B5AA1D65-5C3D-44C1-B0FA-3F6DD208A0CF}" name="PARTIDA COG" dataDxfId="54" totalsRowDxfId="53"/>
    <tableColumn id="10" xr3:uid="{C21AE2D7-2B14-44D8-9242-D9CFCE88BA19}" name="DESCRIPCIÓN PARTIDA COG" totalsRowLabel="TOTAL " dataDxfId="52" totalsRowDxfId="51"/>
    <tableColumn id="13" xr3:uid="{A461F5A9-B765-48E1-9B8D-D93E2417F11A}" name="TRIMESTRE  I" dataDxfId="50" totalsRowDxfId="49"/>
    <tableColumn id="12" xr3:uid="{292DA264-5134-4643-81BB-02250CF162CA}" name="TRIMESTRE II" dataDxfId="48" totalsRowDxfId="47"/>
    <tableColumn id="3" xr3:uid="{BB512E37-4D82-4D57-A5C8-592FAD0CBBF8}" name="TRIMESTRE III" dataDxfId="46" totalsRowDxfId="45"/>
    <tableColumn id="1" xr3:uid="{188336E4-4344-4C22-A178-3D5E34574C19}" name="TRIMESTRE IV" dataDxfId="44" totalsRowDxfId="43"/>
    <tableColumn id="15" xr3:uid="{83A88B22-0031-4E46-A5D4-FAC1DB3E2977}" name="PRESUPUESTO ANUAL AUTORIZADO " totalsRowFunction="sum" dataDxfId="42" totalsRowDxfId="41"/>
    <tableColumn id="16" xr3:uid="{CC80656E-6C29-44A3-A858-EF45FC3DEE85}" name="PROCEDIM. DE CONTRATACIÓN PROPUESTO" dataDxfId="40" totalsRowDxfId="39"/>
    <tableColumn id="5" xr3:uid="{375A48C8-1E24-48B8-B723-732751A31DEF}" name="FECHA ESTIMADA PARA REALIZAR EL PROCEDIMIENTO" dataDxfId="38" totalsRowDxfId="37"/>
    <tableColumn id="11" xr3:uid="{90880D06-D610-48B3-9F32-F5B1F4441D4F}" name="FUNDAMENTO LEGAL" dataDxfId="36" totalsRowDxfId="35"/>
  </tableColumns>
  <tableStyleInfo name="TableStyleMedium20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8624370C-7497-4C8A-BA99-8641F524F2C6}" name="Tabla119" displayName="Tabla119" ref="A4:P125" totalsRowCount="1" headerRowDxfId="34" totalsRowDxfId="33" totalsRowBorderDxfId="32" headerRowCellStyle="Énfasis2">
  <autoFilter ref="A4:P124" xr:uid="{00000000-0009-0000-0100-000001000000}"/>
  <tableColumns count="16">
    <tableColumn id="2" xr3:uid="{5490B1A8-2416-4EF3-BB3E-A9B612D73ADF}" name="RAMO/SUBRAMO" dataDxfId="31" totalsRowDxfId="30"/>
    <tableColumn id="4" xr3:uid="{FCA73793-00E6-493A-9212-DC9BC2902BA1}" name="PROGRAMA PRESUPUESTARIO" dataDxfId="29" totalsRowDxfId="28"/>
    <tableColumn id="6" xr3:uid="{E83A7CB8-694F-483F-A807-1D21A6C4A52A}" name="FUENTE DE FINANCIAMIENTO" dataDxfId="27" totalsRowDxfId="26"/>
    <tableColumn id="7" xr3:uid="{E77C143C-1B5F-425F-BF7C-A673116ED728}" name="TIPO DE F.F." dataDxfId="25" totalsRowDxfId="24"/>
    <tableColumn id="8" xr3:uid="{6E934FCA-6D6C-4B38-AF1A-53B7DE355A99}" name="UNIDAD RESPONSABLE" dataDxfId="23" totalsRowDxfId="22"/>
    <tableColumn id="17" xr3:uid="{D0521E47-3AD4-4366-A8C7-7A47D99CD6D9}" name="CAPÍTULO" dataDxfId="21" totalsRowDxfId="20"/>
    <tableColumn id="9" xr3:uid="{6E46678E-B829-41AE-88DA-FB8BB36AAC05}" name="PARTIDA COG" dataDxfId="19" totalsRowDxfId="18"/>
    <tableColumn id="10" xr3:uid="{D309390B-234F-449F-9690-165A4F713F82}" name="DESCRIPCIÓN PARTIDA COG" totalsRowLabel="TOTAL " dataDxfId="17" totalsRowDxfId="16"/>
    <tableColumn id="13" xr3:uid="{E3F1F448-6D90-4943-8E73-E471DB7C5574}" name="TRIMESTRE  I" totalsRowFunction="custom" dataDxfId="15" totalsRowDxfId="14">
      <totalsRowFormula>SUM(I5:I124)</totalsRowFormula>
    </tableColumn>
    <tableColumn id="12" xr3:uid="{AC1BCDDE-C60D-4F78-BB14-ED8E2BAB1E40}" name="TRIMESTRE II" totalsRowFunction="custom" dataDxfId="13" totalsRowDxfId="12">
      <totalsRowFormula>SUM(J5:J124)</totalsRowFormula>
    </tableColumn>
    <tableColumn id="3" xr3:uid="{3AA521B9-6D51-4677-BE27-2841B84A0F2A}" name="TRIMESTRE III" totalsRowFunction="custom" dataDxfId="11" totalsRowDxfId="10">
      <totalsRowFormula>SUM(K5:K124)</totalsRowFormula>
    </tableColumn>
    <tableColumn id="1" xr3:uid="{9ECD74F1-963B-42CB-A9BF-30E03DB55290}" name="TRIMESTRE IV" totalsRowFunction="custom" dataDxfId="9" totalsRowDxfId="8">
      <totalsRowFormula>SUM(L5:L124)</totalsRowFormula>
    </tableColumn>
    <tableColumn id="15" xr3:uid="{0535270B-32C2-470B-B8F4-B48F17C12FFE}" name="PRESUPUESTO ANUAL AUTORIZADO " totalsRowFunction="sum" dataDxfId="7" totalsRowDxfId="6">
      <calculatedColumnFormula>SUM(Tabla119[[#This Row],[TRIMESTRE  I]:[TRIMESTRE IV]])</calculatedColumnFormula>
    </tableColumn>
    <tableColumn id="16" xr3:uid="{EB54C3CF-809C-4C0E-92DD-CA31C02C6B53}" name="PROCEDIM. DE CONTRATACIÓN PROPUESTO" dataDxfId="5" totalsRowDxfId="4"/>
    <tableColumn id="5" xr3:uid="{798EF823-1E32-422A-9570-96EDA55390C0}" name="FECHA ESTIMADA PARA REALIZAR EL PROCEDIMIENTO" dataDxfId="3" totalsRowDxfId="2"/>
    <tableColumn id="11" xr3:uid="{272FBEC4-3DC4-4B5B-A738-CFD0504CF3AC}" name="FUNDAMENTO LEGAL" dataDxfId="1" totalsRowDxfId="0"/>
  </tableColumns>
  <tableStyleInfo name="TableStyleMedium20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B8C0245-8D7A-4D75-9C52-991431873202}" name="Tabla1" displayName="Tabla1" ref="A4:P150" totalsRowCount="1" headerRowDxfId="497" dataDxfId="496" headerRowCellStyle="Énfasis2">
  <autoFilter ref="A4:P149" xr:uid="{3E5183CA-88EE-4855-8172-DC35E0D95634}"/>
  <tableColumns count="16">
    <tableColumn id="2" xr3:uid="{DDA87C8C-E4E7-4B89-A050-054DCD2B84EA}" name="RAMO/SUBRAMO" dataDxfId="495" totalsRowDxfId="494"/>
    <tableColumn id="4" xr3:uid="{3C01B058-1DA9-43A7-8D17-A7F697512D9C}" name="PROGRAMA PRESUPUESTARIO" dataDxfId="493" totalsRowDxfId="492"/>
    <tableColumn id="6" xr3:uid="{69795A36-C7F0-460B-861F-034DBAC27CCB}" name="FUENTE DE FINANCIAMIENTO" dataDxfId="491" totalsRowDxfId="490"/>
    <tableColumn id="7" xr3:uid="{CE28380E-769F-42AE-AECE-39A1DF5FD4C2}" name="TIPO DE F.F." dataDxfId="489" totalsRowDxfId="488">
      <calculatedColumnFormula>IF(C5&lt;=0,"",VLOOKUP(C5,[2]FF!A:D,2,0))</calculatedColumnFormula>
    </tableColumn>
    <tableColumn id="8" xr3:uid="{A7A8D587-1ACC-4044-9248-9C4E4F6459A0}" name="UNIDAD RESPONSABLE" dataDxfId="487" totalsRowDxfId="486"/>
    <tableColumn id="17" xr3:uid="{500CF97A-A28A-4A35-89C4-106332C78B64}" name="CAPÍTULO" dataDxfId="485" totalsRowDxfId="484"/>
    <tableColumn id="9" xr3:uid="{260C5898-137B-4DF6-892C-62C9B182659D}" name="PARTIDA COG" dataDxfId="483" totalsRowDxfId="482"/>
    <tableColumn id="10" xr3:uid="{0E12EE2A-E19B-4AC6-8079-A39EE4467BDF}" name="DESCRIPCIÓN PARTIDA COG" totalsRowLabel="TOTAL " dataDxfId="481" totalsRowDxfId="480">
      <calculatedColumnFormula>IF(G5&lt;=0,"",VLOOKUP(G5,[2]COG!A:H,2,0))</calculatedColumnFormula>
    </tableColumn>
    <tableColumn id="13" xr3:uid="{11566A8B-EDF8-43E2-A180-3F34C72EC0E8}" name="TRIMESTRE  I" dataDxfId="479" totalsRowDxfId="478"/>
    <tableColumn id="12" xr3:uid="{72AA3D6D-3A8F-4C0E-BDED-8FC6ACAABB54}" name="TRIMESTRE II" dataDxfId="477" totalsRowDxfId="476"/>
    <tableColumn id="3" xr3:uid="{1CA4C7E5-9377-4609-B557-16C4011874D3}" name="TRIMESTRE III" dataDxfId="475" totalsRowDxfId="474"/>
    <tableColumn id="1" xr3:uid="{445207F6-34DD-4A5F-9534-64630942BCDE}" name="TRIMESTRE IV" dataDxfId="473" totalsRowDxfId="472"/>
    <tableColumn id="15" xr3:uid="{A2662C87-E9A1-47DA-903F-9AAE8B0F2E0B}" name="PRESUPUESTO ANUAL AUTORIZADO " totalsRowFunction="sum" dataDxfId="471" totalsRowDxfId="470">
      <calculatedColumnFormula>SUM(Tabla1[[#This Row],[TRIMESTRE  I]:[TRIMESTRE IV]])</calculatedColumnFormula>
    </tableColumn>
    <tableColumn id="16" xr3:uid="{7B5D0567-85CB-4DFB-84F5-27076ED21324}" name="PROCEDIM. DE CONTRATACIÓN PROPUESTO" dataDxfId="469" totalsRowDxfId="468"/>
    <tableColumn id="5" xr3:uid="{552B78D5-A85A-4608-821F-16BDBC8324BC}" name="FECHA ESTIMADA PARA REALIZAR EL PROCEDIMIENTO" dataDxfId="467" totalsRowDxfId="466"/>
    <tableColumn id="11" xr3:uid="{01EF879B-E87F-4EEC-BEFF-72E9E7E1E40E}" name="FUNDAMENTO LEGAL" dataDxfId="465" totalsRowDxfId="464"/>
  </tableColumns>
  <tableStyleInfo name="TableStyleMedium20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ADD3368B-F6CE-46B0-9BE9-3269F36D33AB}" name="Tabla13" displayName="Tabla13" ref="A4:P143" totalsRowCount="1" headerRowDxfId="463" dataDxfId="462" totalsRowDxfId="461" totalsRowBorderDxfId="460" headerRowCellStyle="Énfasis2">
  <autoFilter ref="A4:P142" xr:uid="{7D84745B-855B-467D-A9A9-B69B6AE10BB2}"/>
  <tableColumns count="16">
    <tableColumn id="2" xr3:uid="{9D0272A0-CA7D-4E50-ADA3-277D2FFB091A}" name="RAMO/SUBRAMO" dataDxfId="459" totalsRowDxfId="458"/>
    <tableColumn id="4" xr3:uid="{AAD8736B-8F90-407D-9C9A-E5CA2E05ECD6}" name="PROGRAMA PRESUPUESTARIO" dataDxfId="457" totalsRowDxfId="456"/>
    <tableColumn id="6" xr3:uid="{A90A8FB9-EF39-4B3D-9843-8278CF8E92D6}" name="FUENTE DE FINANCIAMIENTO" dataDxfId="455" totalsRowDxfId="454"/>
    <tableColumn id="7" xr3:uid="{5D6DCB49-B5D1-4EF0-BD39-95F1F69109E5}" name="TIPO DE F.F." dataDxfId="453" totalsRowDxfId="452"/>
    <tableColumn id="8" xr3:uid="{A322651C-E534-464D-BFC3-A1DD2B84B96C}" name="UNIDAD RESPONSABLE" dataDxfId="451" totalsRowDxfId="450"/>
    <tableColumn id="17" xr3:uid="{9EE62AB2-AB15-4A75-9564-7BB14105A6D1}" name="CAPÍTULO" dataDxfId="449" totalsRowDxfId="448"/>
    <tableColumn id="9" xr3:uid="{4328BEEE-040C-4B79-9F45-058B5A86E1A7}" name="PARTIDA COG" dataDxfId="447" totalsRowDxfId="446"/>
    <tableColumn id="10" xr3:uid="{5038E46C-B59C-4591-98E1-7A067DC3EFAD}" name="DESCRIPCIÓN PARTIDA COG" totalsRowLabel="TOTAL " dataDxfId="445" totalsRowDxfId="444"/>
    <tableColumn id="13" xr3:uid="{219FAB94-93B4-426A-AAFE-69419B5C4E23}" name="TRIMESTRE  I" dataDxfId="443" totalsRowDxfId="442"/>
    <tableColumn id="12" xr3:uid="{9C1EFC3E-F479-4DB9-B349-5140694071DB}" name="TRIMESTRE II" dataDxfId="441" totalsRowDxfId="440"/>
    <tableColumn id="3" xr3:uid="{C4FA3A87-5535-4178-A99A-AC2A7CD813C3}" name="TRIMESTRE III" dataDxfId="439" totalsRowDxfId="438"/>
    <tableColumn id="1" xr3:uid="{40182B1E-801D-42C4-90E7-C0B9BBD8FA8D}" name="TRIMESTRE IV" dataDxfId="437" totalsRowDxfId="436"/>
    <tableColumn id="15" xr3:uid="{8D83CE08-BECC-46F6-B4BF-CDFCA781AFDC}" name="PRESUPUESTO ANUAL AUTORIZADO " totalsRowFunction="sum" dataDxfId="435" totalsRowDxfId="434">
      <calculatedColumnFormula>SUM(Tabla13[[#This Row],[TRIMESTRE  I]:[TRIMESTRE IV]])</calculatedColumnFormula>
    </tableColumn>
    <tableColumn id="16" xr3:uid="{FDA9351D-E857-4AED-BEE6-680488CA1E76}" name="PROCEDIM. DE CONTRATACIÓN PROPUESTO" dataDxfId="433" totalsRowDxfId="432"/>
    <tableColumn id="5" xr3:uid="{86738D1C-1F2B-4A7B-B952-8F1FC0D256F1}" name="FECHA ESTIMADA PARA REALIZAR EL PROCEDIMIENTO" dataDxfId="431" totalsRowDxfId="430"/>
    <tableColumn id="11" xr3:uid="{25E9DC4F-2585-4AD3-BE74-176BD84CCFEB}" name="FUNDAMENTO LEGAL" dataDxfId="429" totalsRowDxfId="428"/>
  </tableColumns>
  <tableStyleInfo name="TableStyleMedium20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F0B0C0AB-86CD-4EA0-A12F-A33EB35219B7}" name="Tabla15" displayName="Tabla15" ref="A4:P170" totalsRowCount="1" headerRowDxfId="427" dataDxfId="426" totalsRowDxfId="425" headerRowCellStyle="Énfasis2">
  <tableColumns count="16">
    <tableColumn id="2" xr3:uid="{4D341CF6-8863-4392-879D-F1B0A7C01EA5}" name="RAMO/SUBRAMO" dataDxfId="424" totalsRowDxfId="423"/>
    <tableColumn id="4" xr3:uid="{84C3B90F-7A94-41CB-91A5-6F0F1573C7D7}" name="PROGRAMA PRESUPUESTARIO" dataDxfId="422" totalsRowDxfId="421"/>
    <tableColumn id="6" xr3:uid="{583422FC-4005-472B-AB6C-6DC743FC1C2C}" name="FUENTE DE FINANCIAMIENTO" dataDxfId="420" totalsRowDxfId="419"/>
    <tableColumn id="7" xr3:uid="{0C3BFD25-9A27-45AC-90A1-518CFDD5C685}" name="TIPO DE F.F." dataDxfId="418" totalsRowDxfId="417"/>
    <tableColumn id="8" xr3:uid="{9129171A-D54F-4C05-ABAC-36A79041D572}" name="UNIDAD RESPONSABLE" dataDxfId="416" totalsRowDxfId="415"/>
    <tableColumn id="17" xr3:uid="{EA183B46-A657-4570-8423-7FB70DC96284}" name="CAPÍTULO" dataDxfId="414" totalsRowDxfId="413"/>
    <tableColumn id="9" xr3:uid="{FEA8B202-7840-4772-8EAC-605BC85BB816}" name="PARTIDA COG" dataDxfId="412" totalsRowDxfId="411"/>
    <tableColumn id="10" xr3:uid="{44F4A59F-6747-4944-8A3C-BCD235BB51C0}" name="DESCRIPCIÓN PARTIDA COG" totalsRowLabel="TOTAL " dataDxfId="410" totalsRowDxfId="409"/>
    <tableColumn id="13" xr3:uid="{BB6BAD3D-F4B8-4066-96C3-043D79D7F21E}" name="TRIMESTRE  I" dataDxfId="408" totalsRowDxfId="407"/>
    <tableColumn id="12" xr3:uid="{4A76730B-3971-469F-B576-CCDD5CF2D300}" name="TRIMESTRE II" dataDxfId="406" totalsRowDxfId="405"/>
    <tableColumn id="3" xr3:uid="{0898F5B8-6FF7-4112-93C9-47FD1C124F00}" name="TRIMESTRE III" dataDxfId="404" totalsRowDxfId="403"/>
    <tableColumn id="1" xr3:uid="{7C9E8CEA-EFFC-4D47-BA0D-573AE55BB635}" name="TRIMESTRE IV" dataDxfId="402" totalsRowDxfId="401"/>
    <tableColumn id="15" xr3:uid="{069078C5-C072-4AD3-A151-0E9A67981EE6}" name="PRESUPUESTO ANUAL AUTORIZADO " totalsRowFunction="sum" dataDxfId="400" totalsRowDxfId="399"/>
    <tableColumn id="16" xr3:uid="{A8E46445-409D-442C-830A-3D7CADD03837}" name="PROCEDIM. DE CONTRATACIÓN PROPUESTO" dataDxfId="398" totalsRowDxfId="397"/>
    <tableColumn id="5" xr3:uid="{A4317308-D663-4CC1-AFFB-8497F41B2E67}" name="FECHA ESTIMADA PARA REALIZAR EL PROCEDIMIENTO" dataDxfId="396" totalsRowDxfId="395"/>
    <tableColumn id="11" xr3:uid="{6842AE08-BAC5-4036-8995-EF81E0102478}" name="FUNDAMENTO LEGAL" dataDxfId="394" totalsRowDxfId="393"/>
  </tableColumns>
  <tableStyleInfo name="TableStyleMedium20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88825C71-5278-41A0-A0C8-3F291BDA4634}" name="Tabla16" displayName="Tabla16" ref="A4:P46" totalsRowCount="1" headerRowDxfId="392" dataDxfId="391" totalsRowDxfId="390" totalsRowBorderDxfId="389" headerRowCellStyle="Énfasis2">
  <tableColumns count="16">
    <tableColumn id="2" xr3:uid="{D589837B-A6F7-4BBA-8047-B24FFDC8A0B2}" name="RAMO/SUBRAMO" dataDxfId="388" totalsRowDxfId="387"/>
    <tableColumn id="4" xr3:uid="{1E9AA7BA-E35F-4BED-8B9F-84BBCFF230B7}" name="PROGRAMA PRESUPUESTARIO" dataDxfId="386" totalsRowDxfId="385"/>
    <tableColumn id="6" xr3:uid="{27E0D0A6-1038-4F9C-807A-758D2681F706}" name="FUENTE DE FINANCIAMIENTO" dataDxfId="384" totalsRowDxfId="383"/>
    <tableColumn id="7" xr3:uid="{4AB296C3-AC6D-4F83-8DAA-0AF60F5E4987}" name="TIPO DE F.F." dataDxfId="382" totalsRowDxfId="381"/>
    <tableColumn id="8" xr3:uid="{E03676F2-B38D-415A-AB3D-4179B176EE20}" name="UNIDAD RESPONSABLE" dataDxfId="380" totalsRowDxfId="379"/>
    <tableColumn id="17" xr3:uid="{BDC99E23-3199-44ED-A546-3B66415DA86F}" name="CAPÍTULO" dataDxfId="378" totalsRowDxfId="377"/>
    <tableColumn id="9" xr3:uid="{71A1FAE9-FA2B-4E49-B048-C9BB5952A220}" name="PARTIDA COG" dataDxfId="376" totalsRowDxfId="375"/>
    <tableColumn id="10" xr3:uid="{3F7F3535-0551-4147-BC00-89BF15638FCF}" name="DESCRIPCIÓN PARTIDA COG" totalsRowLabel="TOTAL " dataDxfId="374" totalsRowDxfId="373"/>
    <tableColumn id="13" xr3:uid="{CCCB16F8-21BD-415F-9A3A-21113D2DE55F}" name="TRIMESTRE  I" dataDxfId="372" totalsRowDxfId="371"/>
    <tableColumn id="12" xr3:uid="{81BE108A-CBD2-447E-9F94-5C7F60B6422A}" name="TRIMESTRE II" dataDxfId="370" totalsRowDxfId="369"/>
    <tableColumn id="3" xr3:uid="{FCA7DA3F-0812-447E-9A87-6A78F3EC6C9D}" name="TRIMESTRE III" dataDxfId="368" totalsRowDxfId="367"/>
    <tableColumn id="1" xr3:uid="{A7A1EC2E-D7D0-4A7C-A63A-5216C07AD536}" name="TRIMESTRE IV" dataDxfId="366" totalsRowDxfId="365"/>
    <tableColumn id="15" xr3:uid="{6BF085DA-BA74-4D52-BFED-F0DE7228D68A}" name="PRESUPUESTO ANUAL AUTORIZADO " totalsRowFunction="sum" dataDxfId="364" totalsRowDxfId="363">
      <calculatedColumnFormula>SUM(Tabla16[[#This Row],[TRIMESTRE  I]:[TRIMESTRE IV]])</calculatedColumnFormula>
    </tableColumn>
    <tableColumn id="16" xr3:uid="{2EE91DBD-4C01-43B4-B26F-F178C929A872}" name="PROCEDIM. DE CONTRATACIÓN PROPUESTO" dataDxfId="362" totalsRowDxfId="361"/>
    <tableColumn id="5" xr3:uid="{69440EB9-ECFA-4726-94CA-925C28182482}" name="FECHA ESTIMADA PARA REALIZAR EL PROCEDIMIENTO" dataDxfId="360" totalsRowDxfId="359"/>
    <tableColumn id="11" xr3:uid="{8FCEAD3B-E325-43F6-95AD-F86A12D9AD92}" name="FUNDAMENTO LEGAL" dataDxfId="358" totalsRowDxfId="357"/>
  </tableColumns>
  <tableStyleInfo name="TableStyleMedium20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890203C8-74F5-44C9-A635-1023E30826CB}" name="Tabla18" displayName="Tabla18" ref="A4:P19" totalsRowCount="1" headerRowDxfId="356" dataDxfId="355" totalsRowDxfId="354" totalsRowBorderDxfId="353" headerRowCellStyle="Énfasis2">
  <tableColumns count="16">
    <tableColumn id="2" xr3:uid="{1CE97DA6-1981-4002-AA3A-ACBC30951624}" name="RAMO/SUBRAMO" dataDxfId="352" totalsRowDxfId="351"/>
    <tableColumn id="4" xr3:uid="{2BF65EAA-E0EA-468F-8E37-2065AC558E2E}" name="PROGRAMA PRESUPUESTARIO" dataDxfId="350" totalsRowDxfId="349"/>
    <tableColumn id="6" xr3:uid="{69E79DE9-C3F2-45A0-B089-E3A484250E8B}" name="FUENTE DE FINANCIAMIENTO" dataDxfId="348" totalsRowDxfId="347"/>
    <tableColumn id="7" xr3:uid="{0330E91C-EE41-4CF6-8CFD-35AE86EFE4E5}" name="TIPO DE F.F." dataDxfId="346" totalsRowDxfId="345"/>
    <tableColumn id="8" xr3:uid="{6E94BF69-BD5B-41A8-9FD4-C47FB065164D}" name="UNIDAD RESPONSABLE" dataDxfId="344" totalsRowDxfId="343"/>
    <tableColumn id="17" xr3:uid="{BEA27E7C-9AE6-4683-B93D-FF47C5C91EEF}" name="CAPÍTULO" dataDxfId="342" totalsRowDxfId="341"/>
    <tableColumn id="9" xr3:uid="{4033EB28-1D46-4F01-BA0F-E0F0DCA29FB8}" name="PARTIDA COG" dataDxfId="340" totalsRowDxfId="339"/>
    <tableColumn id="10" xr3:uid="{BB34FA8F-A99D-43A6-ABDC-F8164F56E8EC}" name="DESCRIPCIÓN PARTIDA COG" dataDxfId="338" totalsRowDxfId="337"/>
    <tableColumn id="13" xr3:uid="{5C96F3DF-A57D-4BA3-8969-D3B44F98A685}" name="TRIMESTRE  I" totalsRowLabel=" $-   " dataDxfId="336" totalsRowDxfId="335"/>
    <tableColumn id="12" xr3:uid="{9AF21641-06AF-4660-BC2C-3579E4A86680}" name="TRIMESTRE II" totalsRowLabel=" $-   " dataDxfId="334" totalsRowDxfId="333"/>
    <tableColumn id="3" xr3:uid="{8F6DC622-F187-4D49-BAAF-47FC141D16AF}" name="TRIMESTRE III" totalsRowLabel=" $-   " dataDxfId="332" totalsRowDxfId="331"/>
    <tableColumn id="1" xr3:uid="{7AC929A7-84CB-45A8-92D0-D71FEEB22324}" name="TRIMESTRE IV" totalsRowLabel=" $-   " dataDxfId="330" totalsRowDxfId="329"/>
    <tableColumn id="15" xr3:uid="{3A92F019-69FB-4255-B70A-57338098AAAE}" name="PRESUPUESTO ANUAL AUTORIZADO " totalsRowLabel=" $-   " dataDxfId="328" totalsRowDxfId="327"/>
    <tableColumn id="16" xr3:uid="{FA803BC3-1EDB-4A92-89A7-B32CFDFD0D3D}" name="PROCEDIM. DE CONTRATACIÓN PROPUESTO" dataDxfId="326" totalsRowDxfId="325"/>
    <tableColumn id="5" xr3:uid="{2FE88B30-92E8-4373-A54E-7F86628815A7}" name="FECHA ESTIMADA PARA REALIZAR EL PROCEDIMIENTO" dataDxfId="324" totalsRowDxfId="323"/>
    <tableColumn id="11" xr3:uid="{5832AC2E-0C49-41AE-AB71-1D4B6241E965}" name="FUNDAMENTO LEGAL" dataDxfId="322" totalsRowDxfId="321"/>
  </tableColumns>
  <tableStyleInfo name="TableStyleMedium20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517D9D77-5B70-41DD-98F9-755F1E8C286D}" name="Tabla1312" displayName="Tabla1312" ref="A4:P121" totalsRowCount="1" headerRowDxfId="320" dataDxfId="319" totalsRowDxfId="318" totalsRowBorderDxfId="317" headerRowCellStyle="Énfasis2">
  <tableColumns count="16">
    <tableColumn id="2" xr3:uid="{73A58DC8-B487-489D-8368-6EC1C8FC9005}" name="RAMO/SUBRAMO" dataDxfId="316" totalsRowDxfId="315"/>
    <tableColumn id="4" xr3:uid="{11EAC9C5-B1D7-41D3-9898-829A3F03BEE5}" name="PROGRAMA PRESUPUESTARIO" dataDxfId="314" totalsRowDxfId="313"/>
    <tableColumn id="6" xr3:uid="{BB95CB2C-CA18-42CA-817C-FEAAC2C84774}" name="FUENTE DE FINANCIAMIENTO" dataDxfId="312" totalsRowDxfId="311"/>
    <tableColumn id="7" xr3:uid="{D2D7BD0A-3964-45CD-A715-85AFB39D5341}" name="TIPO DE F.F." dataDxfId="310" totalsRowDxfId="309"/>
    <tableColumn id="8" xr3:uid="{E492B370-0091-464D-94B1-92AD8BDA9654}" name="UNIDAD RESPONSABLE" dataDxfId="308" totalsRowDxfId="307"/>
    <tableColumn id="17" xr3:uid="{E48CDEE6-4636-4CB0-B0B1-4AA1D0126620}" name="CAPÍTULO" dataDxfId="306" totalsRowDxfId="305"/>
    <tableColumn id="9" xr3:uid="{31EF042A-A9B3-46BB-B8B9-800E3A8197C6}" name="PARTIDA COG" dataDxfId="304" totalsRowDxfId="303"/>
    <tableColumn id="10" xr3:uid="{53EAEC03-0622-4EF0-BC41-65C3CB6CAEFB}" name="DESCRIPCIÓN PARTIDA COG" dataDxfId="302" totalsRowDxfId="301"/>
    <tableColumn id="13" xr3:uid="{FBFD6A79-1D12-4C57-A1EB-C89E41D0E5C8}" name="TRIMESTRE  I" dataDxfId="300" totalsRowDxfId="299"/>
    <tableColumn id="12" xr3:uid="{E57B7A17-583C-40CA-85B4-5B973702920A}" name="TRIMESTRE II" dataDxfId="298" totalsRowDxfId="297"/>
    <tableColumn id="3" xr3:uid="{DE019748-C17E-44D2-9485-D3B468847E48}" name="TRIMESTRE III" totalsRowLabel=" TOTAL " dataDxfId="296" totalsRowDxfId="295"/>
    <tableColumn id="1" xr3:uid="{7674A128-7B18-43F4-BA60-8BB4B8151125}" name="TRIMESTRE IV" dataDxfId="294" totalsRowDxfId="293"/>
    <tableColumn id="15" xr3:uid="{C3E96AED-CED3-4EC4-9DBF-87595BA67A85}" name="PRESUPUESTO ANUAL AUTORIZADO " totalsRowFunction="custom" dataDxfId="292" totalsRowDxfId="291">
      <calculatedColumnFormula>Tabla1312[[#This Row],[TRIMESTRE  I]]+Tabla1312[[#This Row],[TRIMESTRE II]]+Tabla1312[[#This Row],[TRIMESTRE III]]+Tabla1312[[#This Row],[TRIMESTRE IV]]</calculatedColumnFormula>
      <totalsRowFormula>SUM(M5:M120)</totalsRowFormula>
    </tableColumn>
    <tableColumn id="16" xr3:uid="{702E184C-BC0E-4945-B17A-E630954BE414}" name="PROCEDIM. DE CONTRATACIÓN PROPUESTO" dataDxfId="290" totalsRowDxfId="289"/>
    <tableColumn id="5" xr3:uid="{BAB38676-ED52-401D-81CC-57907BAB448C}" name="FECHA ESTIMADA PARA REALIZAR EL PROCEDIMIENTO" dataDxfId="288" totalsRowDxfId="287"/>
    <tableColumn id="11" xr3:uid="{F0695D53-9D77-4B7E-8085-7A1159FB9242}" name="FUNDAMENTO LEGAL" dataDxfId="286" totalsRowDxfId="285"/>
  </tableColumns>
  <tableStyleInfo name="TableStyleMedium20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52276502-D67C-440F-A13C-CF055A219115}" name="Tabla114" displayName="Tabla114" ref="A4:P153" totalsRowCount="1" headerRowDxfId="284" dataDxfId="283" totalsRowDxfId="282" headerRowCellStyle="Énfasis2">
  <tableColumns count="16">
    <tableColumn id="2" xr3:uid="{BB48090D-D159-4F69-A0D3-D835659AB4F5}" name="RAMO/SUBRAMO" dataDxfId="281" totalsRowDxfId="280"/>
    <tableColumn id="4" xr3:uid="{5DF4DD44-2534-45EC-838C-40E020B18F38}" name="PROGRAMA PRESUPUESTARIO" dataDxfId="279" totalsRowDxfId="278"/>
    <tableColumn id="6" xr3:uid="{10AC1BA4-57F1-4ADC-B73A-E938B98F0BD9}" name="FUENTE DE FINANCIAMIENTO" dataDxfId="277" totalsRowDxfId="276"/>
    <tableColumn id="7" xr3:uid="{F01DB9EC-19BE-47E3-A91F-E1854CC31ED6}" name="TIPO DE F.F." dataDxfId="275" totalsRowDxfId="274"/>
    <tableColumn id="8" xr3:uid="{2BA982C7-1C86-43ED-9657-5F58593C9D80}" name="UNIDAD RESPONSABLE" dataDxfId="273" totalsRowDxfId="272"/>
    <tableColumn id="17" xr3:uid="{07AB91B9-CD3C-4641-9C1A-1F02DFF856F5}" name="CAPÍTULO" dataDxfId="271" totalsRowDxfId="270"/>
    <tableColumn id="9" xr3:uid="{AAAFAD33-94AC-4ECB-8329-27183724A478}" name="PARTIDA COG" dataDxfId="269" totalsRowDxfId="268"/>
    <tableColumn id="10" xr3:uid="{0EA5E402-E3A8-4B55-8295-D076DD71D4B9}" name="DESCRIPCIÓN PARTIDA COG" totalsRowLabel="TOTAL " dataDxfId="267" totalsRowDxfId="266"/>
    <tableColumn id="13" xr3:uid="{9F5F0BBC-F206-4BFD-974E-794490DF6C21}" name="TRIMESTRE  I" dataDxfId="265" totalsRowDxfId="264"/>
    <tableColumn id="12" xr3:uid="{BA69C0B9-E2D1-45FB-8029-C5852D0778AE}" name="TRIMESTRE II" dataDxfId="263" totalsRowDxfId="262"/>
    <tableColumn id="3" xr3:uid="{9813C9A2-B826-4C2E-BEC9-5D34002A3068}" name="TRIMESTRE III" dataDxfId="261" totalsRowDxfId="260"/>
    <tableColumn id="1" xr3:uid="{8DC3C51F-7410-49C7-8197-593A5D65DE0C}" name="TRIMESTRE IV" dataDxfId="259" totalsRowDxfId="258"/>
    <tableColumn id="15" xr3:uid="{1FD37EEE-D9DA-40C2-BA81-6B596448807F}" name="PRESUPUESTO ANUAL AUTORIZADO " dataDxfId="257" totalsRowDxfId="256"/>
    <tableColumn id="16" xr3:uid="{4E0E94BA-B8C0-4336-A97D-A4F163B1524C}" name="PROCEDIM. DE CONTRATACIÓN PROPUESTO" dataDxfId="255" totalsRowDxfId="254"/>
    <tableColumn id="5" xr3:uid="{2F5EF932-F85B-4782-8189-DE4733B90D85}" name="FECHA ESTIMADA PARA REALIZAR EL PROCEDIMIENTO" dataDxfId="253" totalsRowDxfId="252"/>
    <tableColumn id="11" xr3:uid="{4A0F827D-D29B-4307-A073-38813933EA0C}" name="FUNDAMENTO LEGAL" dataDxfId="251" totalsRowDxfId="250"/>
  </tableColumns>
  <tableStyleInfo name="TableStyleMedium20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E351670E-DEB2-4AFE-8F74-8B9DBE36B7F2}" name="Tabla124" displayName="Tabla124" ref="A4:P84" totalsRowCount="1" headerRowDxfId="249" dataDxfId="248" totalsRowDxfId="247" headerRowCellStyle="Énfasis2">
  <tableColumns count="16">
    <tableColumn id="2" xr3:uid="{ECADA56C-71A3-4DE1-8BEE-1DE1D42EC60C}" name="RAMO/SUBRAMO" dataDxfId="246" totalsRowDxfId="245"/>
    <tableColumn id="4" xr3:uid="{3B871DB3-D77E-4A6A-815D-DEB4043443BE}" name="PROGRAMA PRESUPUESTARIO" dataDxfId="244" totalsRowDxfId="243"/>
    <tableColumn id="6" xr3:uid="{AEB4C723-C2DE-43E0-B6A0-E3861CCAA851}" name="FUENTE DE FINANCIAMIENTO" dataDxfId="242" totalsRowDxfId="241"/>
    <tableColumn id="7" xr3:uid="{31C94494-0395-4F5C-AB5A-2274B021A48D}" name="TIPO DE F.F." dataDxfId="240" totalsRowDxfId="239"/>
    <tableColumn id="8" xr3:uid="{0F9E3F98-26C0-4538-86FE-3D820A59100D}" name="UNIDAD RESPONSABLE" dataDxfId="238" totalsRowDxfId="237"/>
    <tableColumn id="17" xr3:uid="{0A67E1CE-14FE-4942-81C7-0C3EA776AFC4}" name="CAPÍTULO" dataDxfId="236" totalsRowDxfId="235"/>
    <tableColumn id="9" xr3:uid="{4CA1DD0C-CDB8-4E1E-B21A-A7B071BB0D95}" name="PARTIDA COG" dataDxfId="234" totalsRowDxfId="233"/>
    <tableColumn id="10" xr3:uid="{2EDE869A-9A20-4255-9D77-55BB1B273373}" name="DESCRIPCIÓN PARTIDA COG" totalsRowLabel="TOTAL " dataDxfId="232" totalsRowDxfId="231"/>
    <tableColumn id="13" xr3:uid="{5AE58707-32FF-4851-B6EC-E404E92D3BC6}" name="TRIMESTRE  I" dataDxfId="230" totalsRowDxfId="229">
      <calculatedColumnFormula>Tabla124[[#This Row],[TOTAL POR EJERCER]]/4</calculatedColumnFormula>
    </tableColumn>
    <tableColumn id="12" xr3:uid="{04D17761-D998-4A4A-BFA7-9365BE1EF46A}" name="TRIMESTRE II" dataDxfId="228" totalsRowDxfId="227">
      <calculatedColumnFormula>Tabla124[[#This Row],[TOTAL POR EJERCER]]/4</calculatedColumnFormula>
    </tableColumn>
    <tableColumn id="3" xr3:uid="{1CAD7C88-1EBB-4B28-9655-B43A5F0A5DCA}" name="TRIMESTRE III" dataDxfId="226" totalsRowDxfId="225">
      <calculatedColumnFormula>Tabla124[[#This Row],[TOTAL POR EJERCER]]/4</calculatedColumnFormula>
    </tableColumn>
    <tableColumn id="1" xr3:uid="{B530E123-E89E-466A-905C-29F7D04FEC03}" name="TRIMESTRE IV" dataDxfId="224" totalsRowDxfId="223">
      <calculatedColumnFormula>Tabla124[[#This Row],[TOTAL POR EJERCER]]/4</calculatedColumnFormula>
    </tableColumn>
    <tableColumn id="15" xr3:uid="{38EDB25B-B5F7-481C-BB11-15F92D17B090}" name="TOTAL POR EJERCER" totalsRowFunction="sum" dataDxfId="222" totalsRowDxfId="221">
      <calculatedColumnFormula>SUM(Tabla124[[#This Row],[TRIMESTRE  I]:[TRIMESTRE IV]])</calculatedColumnFormula>
    </tableColumn>
    <tableColumn id="16" xr3:uid="{954FBFE7-2B54-449E-AFA9-09E947D32A8C}" name="PROCEDIM. DE CONTRATACIÓN PROPUESTO" dataDxfId="220" totalsRowDxfId="219"/>
    <tableColumn id="5" xr3:uid="{D1AED8EF-D05C-48E5-A260-96C10846BCCB}" name="FECHA ESTIMADA PARA REALIZAR EL PROCEDIMIENTO" dataDxfId="218" totalsRowDxfId="217"/>
    <tableColumn id="11" xr3:uid="{54214073-CEEE-4945-A5F0-F3B8E6FB3F30}" name="FUNDAMENTO LEGAL" dataDxfId="216" totalsRowDxfId="215"/>
  </tableColumns>
  <tableStyleInfo name="TableStyleMedium20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0.x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1.x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2.x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3.x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4.x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5.x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5" Type="http://schemas.openxmlformats.org/officeDocument/2006/relationships/comments" Target="../comments1.xml"/><Relationship Id="rId4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.x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8.x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9.x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1126E3-A5B0-44F2-8BF5-9FF11499F895}">
  <sheetPr>
    <tabColor rgb="FF00B050"/>
    <pageSetUpPr fitToPage="1"/>
  </sheetPr>
  <dimension ref="A2:P72"/>
  <sheetViews>
    <sheetView tabSelected="1" view="pageBreakPreview" topLeftCell="A40" zoomScale="70" zoomScaleNormal="100" zoomScaleSheetLayoutView="70" workbookViewId="0">
      <selection activeCell="E8" sqref="E8"/>
    </sheetView>
  </sheetViews>
  <sheetFormatPr baseColWidth="10" defaultRowHeight="15" x14ac:dyDescent="0.25"/>
  <cols>
    <col min="1" max="1" width="10.28515625" customWidth="1"/>
    <col min="2" max="2" width="17.5703125" customWidth="1"/>
    <col min="3" max="3" width="18.140625" customWidth="1"/>
    <col min="4" max="4" width="17.42578125" customWidth="1"/>
    <col min="5" max="5" width="13.42578125" bestFit="1" customWidth="1"/>
    <col min="6" max="6" width="11.140625" customWidth="1"/>
    <col min="7" max="7" width="13" customWidth="1"/>
    <col min="8" max="8" width="32.140625" customWidth="1"/>
    <col min="9" max="9" width="12.5703125" bestFit="1" customWidth="1"/>
    <col min="10" max="12" width="11.7109375" bestFit="1" customWidth="1"/>
    <col min="13" max="13" width="19" customWidth="1"/>
    <col min="14" max="15" width="21.7109375" customWidth="1"/>
    <col min="16" max="16" width="18.5703125" customWidth="1"/>
  </cols>
  <sheetData>
    <row r="2" spans="1:16" ht="23.25" x14ac:dyDescent="0.25">
      <c r="A2" s="115" t="s">
        <v>24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1"/>
      <c r="O2" s="111"/>
      <c r="P2" s="111"/>
    </row>
    <row r="3" spans="1:16" ht="23.25" x14ac:dyDescent="0.25">
      <c r="A3" s="116" t="s">
        <v>380</v>
      </c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2"/>
      <c r="O3" s="112"/>
      <c r="P3" s="112"/>
    </row>
    <row r="4" spans="1:16" ht="23.25" x14ac:dyDescent="0.25">
      <c r="A4" s="117" t="s">
        <v>25</v>
      </c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3"/>
      <c r="O4" s="113"/>
      <c r="P4" s="113"/>
    </row>
    <row r="5" spans="1:16" s="2" customFormat="1" ht="48" customHeight="1" x14ac:dyDescent="0.2">
      <c r="A5" s="72" t="s">
        <v>0</v>
      </c>
      <c r="B5" s="72" t="s">
        <v>1</v>
      </c>
      <c r="C5" s="72" t="s">
        <v>2</v>
      </c>
      <c r="D5" s="72" t="s">
        <v>3</v>
      </c>
      <c r="E5" s="72" t="s">
        <v>4</v>
      </c>
      <c r="F5" s="72" t="s">
        <v>5</v>
      </c>
      <c r="G5" s="72" t="s">
        <v>6</v>
      </c>
      <c r="H5" s="72" t="s">
        <v>7</v>
      </c>
      <c r="I5" s="72" t="s">
        <v>26</v>
      </c>
      <c r="J5" s="72" t="s">
        <v>8</v>
      </c>
      <c r="K5" s="72" t="s">
        <v>9</v>
      </c>
      <c r="L5" s="72" t="s">
        <v>10</v>
      </c>
      <c r="M5" s="72" t="s">
        <v>27</v>
      </c>
      <c r="N5" s="72" t="s">
        <v>11</v>
      </c>
      <c r="O5" s="72" t="s">
        <v>12</v>
      </c>
      <c r="P5" s="72" t="s">
        <v>13</v>
      </c>
    </row>
    <row r="6" spans="1:16" ht="25.5" x14ac:dyDescent="0.25">
      <c r="A6" s="3">
        <v>500</v>
      </c>
      <c r="B6" s="4" t="s">
        <v>375</v>
      </c>
      <c r="C6" s="5">
        <v>530</v>
      </c>
      <c r="D6" s="6" t="str">
        <f>IF(C6&lt;=0,"",VLOOKUP(C6,[12]FF!A:D,2,0))</f>
        <v>PARTICIPACIONES Ramo 28</v>
      </c>
      <c r="E6" s="5" t="s">
        <v>376</v>
      </c>
      <c r="F6" s="7" t="s">
        <v>15</v>
      </c>
      <c r="G6" s="8">
        <v>211001</v>
      </c>
      <c r="H6" s="9" t="str">
        <f>IF(G6&lt;=0,"",VLOOKUP(G6,[12]COG!A:H,2,0))</f>
        <v>Material de oficina</v>
      </c>
      <c r="I6" s="10">
        <v>167000</v>
      </c>
      <c r="J6" s="10">
        <v>167000</v>
      </c>
      <c r="K6" s="10">
        <v>167000</v>
      </c>
      <c r="L6" s="10">
        <v>167000</v>
      </c>
      <c r="M6" s="11">
        <f>SUM(Tabla17[[#This Row],[TRIMESTRE  I]:[TRIMESTRE IV]])</f>
        <v>668000</v>
      </c>
      <c r="N6" s="12"/>
      <c r="O6" s="13"/>
      <c r="P6" s="8"/>
    </row>
    <row r="7" spans="1:16" ht="25.5" x14ac:dyDescent="0.25">
      <c r="A7" s="3">
        <v>500</v>
      </c>
      <c r="B7" s="4" t="s">
        <v>375</v>
      </c>
      <c r="C7" s="5">
        <v>530</v>
      </c>
      <c r="D7" s="6" t="str">
        <f>IF(C7&lt;=0,"",VLOOKUP(C7,[12]FF!A:D,2,0))</f>
        <v>PARTICIPACIONES Ramo 28</v>
      </c>
      <c r="E7" s="5" t="s">
        <v>376</v>
      </c>
      <c r="F7" s="7" t="s">
        <v>15</v>
      </c>
      <c r="G7" s="8">
        <v>212001</v>
      </c>
      <c r="H7" s="9" t="str">
        <f>IF(G7&lt;=0,"",VLOOKUP(G7,[12]COG!A:H,2,0))</f>
        <v>Material y útiles de impresión</v>
      </c>
      <c r="I7" s="10">
        <v>224000</v>
      </c>
      <c r="J7" s="10">
        <v>224000</v>
      </c>
      <c r="K7" s="10">
        <v>224000</v>
      </c>
      <c r="L7" s="10">
        <v>224000</v>
      </c>
      <c r="M7" s="11">
        <f>SUM(Tabla17[[#This Row],[TRIMESTRE  I]:[TRIMESTRE IV]])</f>
        <v>896000</v>
      </c>
      <c r="N7" s="12"/>
      <c r="O7" s="13"/>
      <c r="P7" s="8"/>
    </row>
    <row r="8" spans="1:16" ht="25.5" x14ac:dyDescent="0.25">
      <c r="A8" s="3">
        <v>500</v>
      </c>
      <c r="B8" s="4" t="s">
        <v>375</v>
      </c>
      <c r="C8" s="5">
        <v>530</v>
      </c>
      <c r="D8" s="6" t="str">
        <f>IF(C8&lt;=0,"",VLOOKUP(C8,[12]FF!A:D,2,0))</f>
        <v>PARTICIPACIONES Ramo 28</v>
      </c>
      <c r="E8" s="5" t="s">
        <v>376</v>
      </c>
      <c r="F8" s="7" t="s">
        <v>15</v>
      </c>
      <c r="G8" s="8">
        <v>216001</v>
      </c>
      <c r="H8" s="9" t="str">
        <f>IF(G8&lt;=0,"",VLOOKUP(G8,[12]COG!A:H,2,0))</f>
        <v>Material de limpieza</v>
      </c>
      <c r="I8" s="10">
        <v>348000</v>
      </c>
      <c r="J8" s="10">
        <v>348000</v>
      </c>
      <c r="K8" s="10">
        <v>348000</v>
      </c>
      <c r="L8" s="10">
        <v>348000</v>
      </c>
      <c r="M8" s="11">
        <f>SUM(Tabla17[[#This Row],[TRIMESTRE  I]:[TRIMESTRE IV]])</f>
        <v>1392000</v>
      </c>
      <c r="N8" s="12"/>
      <c r="O8" s="13"/>
      <c r="P8" s="8"/>
    </row>
    <row r="9" spans="1:16" ht="25.5" x14ac:dyDescent="0.25">
      <c r="A9" s="3">
        <v>500</v>
      </c>
      <c r="B9" s="4" t="s">
        <v>375</v>
      </c>
      <c r="C9" s="5">
        <v>530</v>
      </c>
      <c r="D9" s="6" t="str">
        <f>IF(C9&lt;=0,"",VLOOKUP(C9,[12]FF!A:D,2,0))</f>
        <v>PARTICIPACIONES Ramo 28</v>
      </c>
      <c r="E9" s="5" t="s">
        <v>376</v>
      </c>
      <c r="F9" s="7" t="s">
        <v>15</v>
      </c>
      <c r="G9" s="8">
        <v>261001</v>
      </c>
      <c r="H9" s="9" t="str">
        <f>IF(G9&lt;=0,"",VLOOKUP(G9,[12]COG!A:H,2,0))</f>
        <v>Combustibles</v>
      </c>
      <c r="I9" s="10">
        <v>663500</v>
      </c>
      <c r="J9" s="10">
        <v>663500</v>
      </c>
      <c r="K9" s="10">
        <v>663500</v>
      </c>
      <c r="L9" s="10">
        <v>663500</v>
      </c>
      <c r="M9" s="11">
        <f>SUM(Tabla17[[#This Row],[TRIMESTRE  I]:[TRIMESTRE IV]])</f>
        <v>2654000</v>
      </c>
      <c r="N9" s="12"/>
      <c r="O9" s="13"/>
      <c r="P9" s="8"/>
    </row>
    <row r="10" spans="1:16" ht="25.5" x14ac:dyDescent="0.25">
      <c r="A10" s="3">
        <v>500</v>
      </c>
      <c r="B10" s="4" t="s">
        <v>375</v>
      </c>
      <c r="C10" s="5">
        <v>530</v>
      </c>
      <c r="D10" s="6" t="str">
        <f>IF(C10&lt;=0,"",VLOOKUP(C10,[12]FF!A:D,2,0))</f>
        <v>PARTICIPACIONES Ramo 28</v>
      </c>
      <c r="E10" s="5" t="s">
        <v>376</v>
      </c>
      <c r="F10" s="7" t="s">
        <v>15</v>
      </c>
      <c r="G10" s="8">
        <v>271001</v>
      </c>
      <c r="H10" s="9" t="str">
        <f>IF(G10&lt;=0,"",VLOOKUP(G10,[12]COG!A:H,2,0))</f>
        <v>Ropa, vestuario y equipo</v>
      </c>
      <c r="I10" s="10"/>
      <c r="J10" s="10">
        <v>1500000</v>
      </c>
      <c r="K10" s="10"/>
      <c r="L10" s="10"/>
      <c r="M10" s="11">
        <f>SUM(Tabla17[[#This Row],[TRIMESTRE  I]:[TRIMESTRE IV]])</f>
        <v>1500000</v>
      </c>
      <c r="N10" s="12"/>
      <c r="O10" s="13"/>
      <c r="P10" s="8"/>
    </row>
    <row r="11" spans="1:16" ht="25.5" x14ac:dyDescent="0.25">
      <c r="A11" s="3">
        <v>500</v>
      </c>
      <c r="B11" s="4" t="s">
        <v>375</v>
      </c>
      <c r="C11" s="5">
        <v>530</v>
      </c>
      <c r="D11" s="6" t="str">
        <f>IF(C11&lt;=0,"",VLOOKUP(C11,[12]FF!A:D,2,0))</f>
        <v>PARTICIPACIONES Ramo 28</v>
      </c>
      <c r="E11" s="5" t="s">
        <v>376</v>
      </c>
      <c r="F11" s="7" t="s">
        <v>15</v>
      </c>
      <c r="G11" s="8">
        <v>296001</v>
      </c>
      <c r="H11" s="9" t="str">
        <f>IF(G11&lt;=0,"",VLOOKUP(G11,[12]COG!A:H,2,0))</f>
        <v>Herramientas, refacciones y accesorios</v>
      </c>
      <c r="I11" s="10">
        <v>27152</v>
      </c>
      <c r="J11" s="10">
        <v>27152</v>
      </c>
      <c r="K11" s="10">
        <v>27152</v>
      </c>
      <c r="L11" s="10">
        <v>27152</v>
      </c>
      <c r="M11" s="11">
        <f>SUM(Tabla17[[#This Row],[TRIMESTRE  I]:[TRIMESTRE IV]])</f>
        <v>108608</v>
      </c>
      <c r="N11" s="12"/>
      <c r="O11" s="13"/>
      <c r="P11" s="8"/>
    </row>
    <row r="12" spans="1:16" ht="25.5" x14ac:dyDescent="0.25">
      <c r="A12" s="3">
        <v>500</v>
      </c>
      <c r="B12" s="4" t="s">
        <v>375</v>
      </c>
      <c r="C12" s="5">
        <v>530</v>
      </c>
      <c r="D12" s="6" t="str">
        <f>IF(C12&lt;=0,"",VLOOKUP(C12,[12]FF!A:D,2,0))</f>
        <v>PARTICIPACIONES Ramo 28</v>
      </c>
      <c r="E12" s="5" t="s">
        <v>376</v>
      </c>
      <c r="F12" s="7" t="s">
        <v>22</v>
      </c>
      <c r="G12" s="8">
        <v>323001</v>
      </c>
      <c r="H12" s="9" t="str">
        <f>IF(G12&lt;=0,"",VLOOKUP(G12,[12]COG!A:H,2,0))</f>
        <v>Arrendamiento de maquinaria y equipo</v>
      </c>
      <c r="I12" s="10">
        <v>198000</v>
      </c>
      <c r="J12" s="10">
        <v>198000</v>
      </c>
      <c r="K12" s="10">
        <v>198000</v>
      </c>
      <c r="L12" s="10">
        <v>198000</v>
      </c>
      <c r="M12" s="11">
        <f>SUM(Tabla17[[#This Row],[TRIMESTRE  I]:[TRIMESTRE IV]])</f>
        <v>792000</v>
      </c>
      <c r="N12" s="12"/>
      <c r="O12" s="13"/>
      <c r="P12" s="8"/>
    </row>
    <row r="13" spans="1:16" ht="25.5" x14ac:dyDescent="0.25">
      <c r="A13" s="3">
        <v>500</v>
      </c>
      <c r="B13" s="4" t="s">
        <v>375</v>
      </c>
      <c r="C13" s="5">
        <v>530</v>
      </c>
      <c r="D13" s="6" t="str">
        <f>IF(C13&lt;=0,"",VLOOKUP(C13,[12]FF!A:D,2,0))</f>
        <v>PARTICIPACIONES Ramo 28</v>
      </c>
      <c r="E13" s="5" t="s">
        <v>376</v>
      </c>
      <c r="F13" s="7" t="s">
        <v>22</v>
      </c>
      <c r="G13" s="8">
        <v>336001</v>
      </c>
      <c r="H13" s="9" t="str">
        <f>IF(G13&lt;=0,"",VLOOKUP(G13,[12]COG!A:H,2,0))</f>
        <v>Servicio de Fotocopiado, Enmicado y Encuadernación de Documentos.</v>
      </c>
      <c r="I13" s="10">
        <v>437600</v>
      </c>
      <c r="J13" s="10">
        <v>437600</v>
      </c>
      <c r="K13" s="10">
        <v>437600</v>
      </c>
      <c r="L13" s="10">
        <v>437600</v>
      </c>
      <c r="M13" s="11">
        <f>SUM(Tabla17[[#This Row],[TRIMESTRE  I]:[TRIMESTRE IV]])</f>
        <v>1750400</v>
      </c>
      <c r="N13" s="12"/>
      <c r="O13" s="13"/>
      <c r="P13" s="8"/>
    </row>
    <row r="14" spans="1:16" ht="25.5" x14ac:dyDescent="0.25">
      <c r="A14" s="3">
        <v>500</v>
      </c>
      <c r="B14" s="4" t="s">
        <v>375</v>
      </c>
      <c r="C14" s="5">
        <v>530</v>
      </c>
      <c r="D14" s="6" t="str">
        <f>IF(C14&lt;=0,"",VLOOKUP(C14,[12]FF!A:D,2,0))</f>
        <v>PARTICIPACIONES Ramo 28</v>
      </c>
      <c r="E14" s="5" t="s">
        <v>376</v>
      </c>
      <c r="F14" s="7" t="s">
        <v>22</v>
      </c>
      <c r="G14" s="8">
        <v>352001</v>
      </c>
      <c r="H14" s="9" t="str">
        <f>IF(G14&lt;=0,"",VLOOKUP(G14,[12]COG!A:H,2,0))</f>
        <v>Mantenimiento de mobiliario y equipo</v>
      </c>
      <c r="I14" s="10">
        <v>33850</v>
      </c>
      <c r="J14" s="10">
        <v>33850</v>
      </c>
      <c r="K14" s="10">
        <v>33850</v>
      </c>
      <c r="L14" s="10">
        <v>33850</v>
      </c>
      <c r="M14" s="11">
        <f>SUM(Tabla17[[#This Row],[TRIMESTRE  I]:[TRIMESTRE IV]])</f>
        <v>135400</v>
      </c>
      <c r="N14" s="12"/>
      <c r="O14" s="13"/>
      <c r="P14" s="8"/>
    </row>
    <row r="15" spans="1:16" ht="25.5" x14ac:dyDescent="0.25">
      <c r="A15" s="3">
        <v>500</v>
      </c>
      <c r="B15" s="4" t="s">
        <v>375</v>
      </c>
      <c r="C15" s="5">
        <v>530</v>
      </c>
      <c r="D15" s="6" t="str">
        <f>IF(C15&lt;=0,"",VLOOKUP(C15,[12]FF!A:D,2,0))</f>
        <v>PARTICIPACIONES Ramo 28</v>
      </c>
      <c r="E15" s="5" t="s">
        <v>376</v>
      </c>
      <c r="F15" s="7" t="s">
        <v>22</v>
      </c>
      <c r="G15" s="8">
        <v>355001</v>
      </c>
      <c r="H15" s="9" t="str">
        <f>IF(G15&lt;=0,"",VLOOKUP(G15,[12]COG!A:H,2,0))</f>
        <v>Mantto. y conservación de vehículos terrestres, aéreos, marítimos, lacustres y fluviales</v>
      </c>
      <c r="I15" s="10">
        <v>40000</v>
      </c>
      <c r="J15" s="10">
        <v>40000</v>
      </c>
      <c r="K15" s="10">
        <v>50000</v>
      </c>
      <c r="L15" s="10">
        <v>50000</v>
      </c>
      <c r="M15" s="11">
        <f>SUM(Tabla17[[#This Row],[TRIMESTRE  I]:[TRIMESTRE IV]])</f>
        <v>180000</v>
      </c>
      <c r="N15" s="12"/>
      <c r="O15" s="13"/>
      <c r="P15" s="8"/>
    </row>
    <row r="16" spans="1:16" ht="25.5" x14ac:dyDescent="0.25">
      <c r="A16" s="3">
        <v>500</v>
      </c>
      <c r="B16" s="4" t="s">
        <v>375</v>
      </c>
      <c r="C16" s="5">
        <v>530</v>
      </c>
      <c r="D16" s="6" t="str">
        <f>IF(C16&lt;=0,"",VLOOKUP(C16,[12]FF!A:D,2,0))</f>
        <v>PARTICIPACIONES Ramo 28</v>
      </c>
      <c r="E16" s="5" t="s">
        <v>376</v>
      </c>
      <c r="F16" s="7" t="s">
        <v>22</v>
      </c>
      <c r="G16" s="8">
        <v>358001</v>
      </c>
      <c r="H16" s="9" t="str">
        <f>IF(G16&lt;=0,"",VLOOKUP(G16,[12]COG!A:H,2,0))</f>
        <v>Servicios de higiene y limpieza</v>
      </c>
      <c r="I16" s="10">
        <v>20000</v>
      </c>
      <c r="J16" s="10">
        <v>20000</v>
      </c>
      <c r="K16" s="10">
        <v>20000</v>
      </c>
      <c r="L16" s="10">
        <v>20000</v>
      </c>
      <c r="M16" s="11">
        <f>SUM(Tabla17[[#This Row],[TRIMESTRE  I]:[TRIMESTRE IV]])</f>
        <v>80000</v>
      </c>
      <c r="N16" s="12"/>
      <c r="O16" s="13"/>
      <c r="P16" s="8"/>
    </row>
    <row r="17" spans="1:16" ht="25.5" x14ac:dyDescent="0.25">
      <c r="A17" s="3">
        <v>500</v>
      </c>
      <c r="B17" s="4" t="s">
        <v>375</v>
      </c>
      <c r="C17" s="5">
        <v>530</v>
      </c>
      <c r="D17" s="6" t="str">
        <f>IF(C17&lt;=0,"",VLOOKUP(C17,[12]FF!A:D,2,0))</f>
        <v>PARTICIPACIONES Ramo 28</v>
      </c>
      <c r="E17" s="5" t="s">
        <v>376</v>
      </c>
      <c r="F17" s="7" t="s">
        <v>22</v>
      </c>
      <c r="G17" s="8">
        <v>371001</v>
      </c>
      <c r="H17" s="9" t="str">
        <f>IF(G17&lt;=0,"",VLOOKUP(G17,[12]COG!A:H,2,0))</f>
        <v>Pasajes aéreos</v>
      </c>
      <c r="I17" s="10">
        <v>70000</v>
      </c>
      <c r="J17" s="10">
        <v>50000</v>
      </c>
      <c r="K17" s="10">
        <v>80000</v>
      </c>
      <c r="L17" s="10">
        <v>30000</v>
      </c>
      <c r="M17" s="11">
        <f>SUM(Tabla17[[#This Row],[TRIMESTRE  I]:[TRIMESTRE IV]])</f>
        <v>230000</v>
      </c>
      <c r="N17" s="12"/>
      <c r="O17" s="13"/>
      <c r="P17" s="8"/>
    </row>
    <row r="18" spans="1:16" ht="25.5" x14ac:dyDescent="0.25">
      <c r="A18" s="3">
        <v>500</v>
      </c>
      <c r="B18" s="4" t="s">
        <v>375</v>
      </c>
      <c r="C18" s="5">
        <v>530</v>
      </c>
      <c r="D18" s="6" t="str">
        <f>IF(C18&lt;=0,"",VLOOKUP(C18,[12]FF!A:D,2,0))</f>
        <v>PARTICIPACIONES Ramo 28</v>
      </c>
      <c r="E18" s="5" t="s">
        <v>376</v>
      </c>
      <c r="F18" s="7" t="s">
        <v>22</v>
      </c>
      <c r="G18" s="8">
        <v>375001</v>
      </c>
      <c r="H18" s="9" t="str">
        <f>IF(G18&lt;=0,"",VLOOKUP(G18,[12]COG!A:H,2,0))</f>
        <v>Viáticos</v>
      </c>
      <c r="I18" s="10">
        <v>171500</v>
      </c>
      <c r="J18" s="10">
        <v>171500</v>
      </c>
      <c r="K18" s="10">
        <v>171500</v>
      </c>
      <c r="L18" s="10">
        <v>171500</v>
      </c>
      <c r="M18" s="11">
        <f>SUM(Tabla17[[#This Row],[TRIMESTRE  I]:[TRIMESTRE IV]])</f>
        <v>686000</v>
      </c>
      <c r="N18" s="12"/>
      <c r="O18" s="13"/>
      <c r="P18" s="8"/>
    </row>
    <row r="19" spans="1:16" ht="25.5" x14ac:dyDescent="0.25">
      <c r="A19" s="3">
        <v>500</v>
      </c>
      <c r="B19" s="4" t="s">
        <v>375</v>
      </c>
      <c r="C19" s="5">
        <v>530</v>
      </c>
      <c r="D19" s="6" t="str">
        <f>IF(C19&lt;=0,"",VLOOKUP(C19,[12]FF!A:D,2,0))</f>
        <v>PARTICIPACIONES Ramo 28</v>
      </c>
      <c r="E19" s="5" t="s">
        <v>376</v>
      </c>
      <c r="F19" s="7" t="s">
        <v>22</v>
      </c>
      <c r="G19" s="8">
        <v>382002</v>
      </c>
      <c r="H19" s="9" t="str">
        <f>IF(G19&lt;=0,"",VLOOKUP(G19,[12]COG!A:H,2,0))</f>
        <v>Gastos de recepción, conmemorativos y de orden social</v>
      </c>
      <c r="I19" s="10">
        <v>2340</v>
      </c>
      <c r="J19" s="10">
        <v>2340</v>
      </c>
      <c r="K19" s="10">
        <v>2340</v>
      </c>
      <c r="L19" s="10">
        <v>2340</v>
      </c>
      <c r="M19" s="11">
        <f>SUM(Tabla17[[#This Row],[TRIMESTRE  I]:[TRIMESTRE IV]])</f>
        <v>9360</v>
      </c>
      <c r="N19" s="12"/>
      <c r="O19" s="13"/>
      <c r="P19" s="8"/>
    </row>
    <row r="20" spans="1:16" ht="25.5" x14ac:dyDescent="0.25">
      <c r="A20" s="3">
        <v>500</v>
      </c>
      <c r="B20" s="4" t="s">
        <v>375</v>
      </c>
      <c r="C20" s="5">
        <v>530</v>
      </c>
      <c r="D20" s="6" t="str">
        <f>IF(C20&lt;=0,"",VLOOKUP(C20,[12]FF!A:D,2,0))</f>
        <v>PARTICIPACIONES Ramo 28</v>
      </c>
      <c r="E20" s="5" t="s">
        <v>376</v>
      </c>
      <c r="F20" s="7" t="s">
        <v>22</v>
      </c>
      <c r="G20" s="8">
        <v>383001</v>
      </c>
      <c r="H20" s="9" t="str">
        <f>IF(G20&lt;=0,"",VLOOKUP(G20,[12]COG!A:H,2,0))</f>
        <v>Congresos y convenciones</v>
      </c>
      <c r="I20" s="10">
        <v>22000</v>
      </c>
      <c r="J20" s="10">
        <v>22000</v>
      </c>
      <c r="K20" s="10">
        <v>22000</v>
      </c>
      <c r="L20" s="10">
        <v>22000</v>
      </c>
      <c r="M20" s="11">
        <f>SUM(Tabla17[[#This Row],[TRIMESTRE  I]:[TRIMESTRE IV]])</f>
        <v>88000</v>
      </c>
      <c r="N20" s="12"/>
      <c r="O20" s="13"/>
      <c r="P20" s="8"/>
    </row>
    <row r="21" spans="1:16" ht="25.5" x14ac:dyDescent="0.25">
      <c r="A21" s="30">
        <v>500</v>
      </c>
      <c r="B21" s="34" t="s">
        <v>375</v>
      </c>
      <c r="C21" s="31">
        <v>530</v>
      </c>
      <c r="D21" s="24" t="str">
        <f>IF(C21&lt;=0,"",VLOOKUP(C21,[12]FF!A:D,2,0))</f>
        <v>PARTICIPACIONES Ramo 28</v>
      </c>
      <c r="E21" s="31" t="s">
        <v>376</v>
      </c>
      <c r="F21" s="32" t="s">
        <v>22</v>
      </c>
      <c r="G21" s="28">
        <v>399001</v>
      </c>
      <c r="H21" s="25" t="str">
        <f>IF(G21&lt;=0,"",VLOOKUP(G21,[12]COG!A:H,2,0))</f>
        <v>Gastos menores</v>
      </c>
      <c r="I21" s="26">
        <v>2300</v>
      </c>
      <c r="J21" s="26">
        <v>2300</v>
      </c>
      <c r="K21" s="26">
        <v>2300</v>
      </c>
      <c r="L21" s="26">
        <v>2300</v>
      </c>
      <c r="M21" s="27">
        <f>SUM(Tabla17[[#This Row],[TRIMESTRE  I]:[TRIMESTRE IV]])</f>
        <v>9200</v>
      </c>
      <c r="N21" s="33"/>
      <c r="O21" s="33"/>
      <c r="P21" s="28"/>
    </row>
    <row r="22" spans="1:16" x14ac:dyDescent="0.25">
      <c r="A22" s="30"/>
      <c r="B22" s="34"/>
      <c r="C22" s="31"/>
      <c r="D22" s="24" t="str">
        <f>IF(C22&lt;=0,"",VLOOKUP(C22,[12]FF!A:D,2,0))</f>
        <v/>
      </c>
      <c r="E22" s="31"/>
      <c r="F22" s="32"/>
      <c r="G22" s="28"/>
      <c r="H22" s="25" t="str">
        <f>IF(G22&lt;=0,"",VLOOKUP(G22,[12]COG!A:H,2,0))</f>
        <v/>
      </c>
      <c r="I22" s="26">
        <v>100000</v>
      </c>
      <c r="J22" s="26">
        <v>100000</v>
      </c>
      <c r="K22" s="26">
        <v>100000</v>
      </c>
      <c r="L22" s="26">
        <v>100000</v>
      </c>
      <c r="M22" s="27">
        <f>SUM(Tabla17[[#This Row],[TRIMESTRE  I]:[TRIMESTRE IV]])</f>
        <v>400000</v>
      </c>
      <c r="N22" s="33"/>
      <c r="O22" s="33"/>
      <c r="P22" s="28"/>
    </row>
    <row r="23" spans="1:16" ht="25.5" x14ac:dyDescent="0.25">
      <c r="A23" s="30">
        <v>500</v>
      </c>
      <c r="B23" s="34" t="s">
        <v>375</v>
      </c>
      <c r="C23" s="31">
        <v>530</v>
      </c>
      <c r="D23" s="24" t="str">
        <f>IF(C23&lt;=0,"",VLOOKUP(C23,[12]FF!A:D,2,0))</f>
        <v>PARTICIPACIONES Ramo 28</v>
      </c>
      <c r="E23" s="31" t="s">
        <v>376</v>
      </c>
      <c r="F23" s="32" t="s">
        <v>22</v>
      </c>
      <c r="G23" s="28">
        <v>336002</v>
      </c>
      <c r="H23" s="25" t="str">
        <f>IF(G23&lt;=0,"",VLOOKUP(G23,[12]COG!A:H,2,0))</f>
        <v>Servicio de Impresión y Elaboración de Material Informativo</v>
      </c>
      <c r="I23" s="26">
        <v>70000</v>
      </c>
      <c r="J23" s="26">
        <v>700000</v>
      </c>
      <c r="K23" s="26">
        <v>300000</v>
      </c>
      <c r="L23" s="26">
        <v>300000</v>
      </c>
      <c r="M23" s="27">
        <f>SUM(Tabla17[[#This Row],[TRIMESTRE  I]:[TRIMESTRE IV]])</f>
        <v>1370000</v>
      </c>
      <c r="N23" s="33"/>
      <c r="O23" s="33"/>
      <c r="P23" s="28"/>
    </row>
    <row r="24" spans="1:16" ht="25.5" x14ac:dyDescent="0.25">
      <c r="A24" s="30">
        <v>500</v>
      </c>
      <c r="B24" s="34" t="s">
        <v>375</v>
      </c>
      <c r="C24" s="31">
        <v>530</v>
      </c>
      <c r="D24" s="24" t="str">
        <f>IF(C24&lt;=0,"",VLOOKUP(C24,[12]FF!A:D,2,0))</f>
        <v>PARTICIPACIONES Ramo 28</v>
      </c>
      <c r="E24" s="31" t="s">
        <v>376</v>
      </c>
      <c r="F24" s="32" t="s">
        <v>21</v>
      </c>
      <c r="G24" s="28">
        <v>515002</v>
      </c>
      <c r="H24" s="25" t="str">
        <f>IF(G24&lt;=0,"",VLOOKUP(G24,[12]COG!A:H,2,0))</f>
        <v>Equipo de Cómputo y Aparatos de Uso Informático</v>
      </c>
      <c r="I24" s="26">
        <v>1000000</v>
      </c>
      <c r="J24" s="26">
        <v>3000000</v>
      </c>
      <c r="K24" s="26"/>
      <c r="L24" s="26"/>
      <c r="M24" s="27">
        <f>SUM(Tabla17[[#This Row],[TRIMESTRE  I]:[TRIMESTRE IV]])</f>
        <v>4000000</v>
      </c>
      <c r="N24" s="33"/>
      <c r="O24" s="33"/>
      <c r="P24" s="28"/>
    </row>
    <row r="25" spans="1:16" ht="25.5" x14ac:dyDescent="0.25">
      <c r="A25" s="30">
        <v>500</v>
      </c>
      <c r="B25" s="34" t="s">
        <v>375</v>
      </c>
      <c r="C25" s="31">
        <v>530</v>
      </c>
      <c r="D25" s="24" t="str">
        <f>IF(C25&lt;=0,"",VLOOKUP(C25,[12]FF!A:D,2,0))</f>
        <v>PARTICIPACIONES Ramo 28</v>
      </c>
      <c r="E25" s="31" t="s">
        <v>376</v>
      </c>
      <c r="F25" s="32" t="s">
        <v>22</v>
      </c>
      <c r="G25" s="28">
        <v>351002</v>
      </c>
      <c r="H25" s="25" t="str">
        <f>IF(G25&lt;=0,"",VLOOKUP(G25,[12]COG!A:H,2,0))</f>
        <v>Fumigación de Inmuebles</v>
      </c>
      <c r="I25" s="26">
        <v>60000</v>
      </c>
      <c r="J25" s="26">
        <v>60000</v>
      </c>
      <c r="K25" s="26">
        <v>60000</v>
      </c>
      <c r="L25" s="26">
        <v>60000</v>
      </c>
      <c r="M25" s="27">
        <f>SUM(Tabla17[[#This Row],[TRIMESTRE  I]:[TRIMESTRE IV]])</f>
        <v>240000</v>
      </c>
      <c r="N25" s="33"/>
      <c r="O25" s="33"/>
      <c r="P25" s="28"/>
    </row>
    <row r="26" spans="1:16" ht="25.5" x14ac:dyDescent="0.25">
      <c r="A26" s="30">
        <v>500</v>
      </c>
      <c r="B26" s="34" t="s">
        <v>375</v>
      </c>
      <c r="C26" s="31">
        <v>530</v>
      </c>
      <c r="D26" s="24" t="str">
        <f>IF(C26&lt;=0,"",VLOOKUP(C26,[12]FF!A:D,2,0))</f>
        <v>PARTICIPACIONES Ramo 28</v>
      </c>
      <c r="E26" s="31" t="s">
        <v>376</v>
      </c>
      <c r="F26" s="32" t="s">
        <v>22</v>
      </c>
      <c r="G26" s="28">
        <v>351001</v>
      </c>
      <c r="H26" s="25" t="str">
        <f>IF(G26&lt;=0,"",VLOOKUP(G26,[12]COG!A:H,2,0))</f>
        <v>Mantenimiento de inmuebles</v>
      </c>
      <c r="I26" s="26">
        <v>15000</v>
      </c>
      <c r="J26" s="26">
        <v>15000</v>
      </c>
      <c r="K26" s="26">
        <v>15000</v>
      </c>
      <c r="L26" s="26">
        <v>15000</v>
      </c>
      <c r="M26" s="27">
        <f>SUM(Tabla17[[#This Row],[TRIMESTRE  I]:[TRIMESTRE IV]])</f>
        <v>60000</v>
      </c>
      <c r="N26" s="33"/>
      <c r="O26" s="33"/>
      <c r="P26" s="28"/>
    </row>
    <row r="27" spans="1:16" ht="25.5" x14ac:dyDescent="0.25">
      <c r="A27" s="30">
        <v>500</v>
      </c>
      <c r="B27" s="34" t="s">
        <v>375</v>
      </c>
      <c r="C27" s="31">
        <v>530</v>
      </c>
      <c r="D27" s="24" t="str">
        <f>IF(C27&lt;=0,"",VLOOKUP(C27,[12]FF!A:D,2,0))</f>
        <v>PARTICIPACIONES Ramo 28</v>
      </c>
      <c r="E27" s="31" t="s">
        <v>376</v>
      </c>
      <c r="F27" s="32" t="s">
        <v>15</v>
      </c>
      <c r="G27" s="28">
        <v>215001</v>
      </c>
      <c r="H27" s="25" t="str">
        <f>IF(G27&lt;=0,"",VLOOKUP(G27,[12]COG!A:H,2,0))</f>
        <v>Material didáctico</v>
      </c>
      <c r="I27" s="26">
        <v>10000</v>
      </c>
      <c r="J27" s="26">
        <v>10000</v>
      </c>
      <c r="K27" s="26">
        <v>10000</v>
      </c>
      <c r="L27" s="26">
        <v>10000</v>
      </c>
      <c r="M27" s="27">
        <f>SUM(Tabla17[[#This Row],[TRIMESTRE  I]:[TRIMESTRE IV]])</f>
        <v>40000</v>
      </c>
      <c r="N27" s="33"/>
      <c r="O27" s="33"/>
      <c r="P27" s="28"/>
    </row>
    <row r="28" spans="1:16" ht="25.5" x14ac:dyDescent="0.25">
      <c r="A28" s="30">
        <v>500</v>
      </c>
      <c r="B28" s="34" t="s">
        <v>375</v>
      </c>
      <c r="C28" s="31">
        <v>530</v>
      </c>
      <c r="D28" s="24" t="str">
        <f>IF(C28&lt;=0,"",VLOOKUP(C28,[12]FF!A:D,2,0))</f>
        <v>PARTICIPACIONES Ramo 28</v>
      </c>
      <c r="E28" s="31" t="s">
        <v>376</v>
      </c>
      <c r="F28" s="32" t="s">
        <v>22</v>
      </c>
      <c r="G28" s="28">
        <v>317001</v>
      </c>
      <c r="H28" s="25" t="str">
        <f>IF(G28&lt;=0,"",VLOOKUP(G28,[12]COG!A:H,2,0))</f>
        <v>Servicios de acceso de Internet, redes y procesamiento de información</v>
      </c>
      <c r="I28" s="26">
        <v>400000</v>
      </c>
      <c r="J28" s="26"/>
      <c r="K28" s="26"/>
      <c r="L28" s="26"/>
      <c r="M28" s="27">
        <f>SUM(Tabla17[[#This Row],[TRIMESTRE  I]:[TRIMESTRE IV]])</f>
        <v>400000</v>
      </c>
      <c r="N28" s="33"/>
      <c r="O28" s="33"/>
      <c r="P28" s="28"/>
    </row>
    <row r="29" spans="1:16" ht="25.5" x14ac:dyDescent="0.25">
      <c r="A29" s="30">
        <v>500</v>
      </c>
      <c r="B29" s="34" t="s">
        <v>375</v>
      </c>
      <c r="C29" s="31">
        <v>530</v>
      </c>
      <c r="D29" s="24" t="str">
        <f>IF(C29&lt;=0,"",VLOOKUP(C29,[12]FF!A:D,2,0))</f>
        <v>PARTICIPACIONES Ramo 28</v>
      </c>
      <c r="E29" s="31" t="s">
        <v>376</v>
      </c>
      <c r="F29" s="32" t="s">
        <v>21</v>
      </c>
      <c r="G29" s="28">
        <v>511001</v>
      </c>
      <c r="H29" s="25" t="str">
        <f>IF(G29&lt;=0,"",VLOOKUP(G29,[12]COG!A:H,2,0))</f>
        <v>Mobiliario</v>
      </c>
      <c r="I29" s="26">
        <v>2000000</v>
      </c>
      <c r="J29" s="26"/>
      <c r="K29" s="26"/>
      <c r="L29" s="26"/>
      <c r="M29" s="27">
        <f>SUM(Tabla17[[#This Row],[TRIMESTRE  I]:[TRIMESTRE IV]])</f>
        <v>2000000</v>
      </c>
      <c r="N29" s="33"/>
      <c r="O29" s="33"/>
      <c r="P29" s="28"/>
    </row>
    <row r="30" spans="1:16" ht="25.5" x14ac:dyDescent="0.25">
      <c r="A30" s="30">
        <v>500</v>
      </c>
      <c r="B30" s="34" t="s">
        <v>375</v>
      </c>
      <c r="C30" s="31">
        <v>530</v>
      </c>
      <c r="D30" s="24" t="str">
        <f>IF(C30&lt;=0,"",VLOOKUP(C30,[12]FF!A:D,2,0))</f>
        <v>PARTICIPACIONES Ramo 28</v>
      </c>
      <c r="E30" s="31" t="s">
        <v>376</v>
      </c>
      <c r="F30" s="32" t="s">
        <v>22</v>
      </c>
      <c r="G30" s="28">
        <v>322001</v>
      </c>
      <c r="H30" s="25" t="str">
        <f>IF(G30&lt;=0,"",VLOOKUP(G30,[12]COG!A:H,2,0))</f>
        <v>Arrendamiento de edificios</v>
      </c>
      <c r="I30" s="26">
        <v>4531051.83</v>
      </c>
      <c r="J30" s="26">
        <v>4531051.83</v>
      </c>
      <c r="K30" s="26">
        <v>4531051.83</v>
      </c>
      <c r="L30" s="26">
        <v>4531051.83</v>
      </c>
      <c r="M30" s="27">
        <f>SUM(Tabla17[[#This Row],[TRIMESTRE  I]:[TRIMESTRE IV]])</f>
        <v>18124207.32</v>
      </c>
      <c r="N30" s="33"/>
      <c r="O30" s="33"/>
      <c r="P30" s="28"/>
    </row>
    <row r="31" spans="1:16" ht="25.5" x14ac:dyDescent="0.25">
      <c r="A31" s="30">
        <v>500</v>
      </c>
      <c r="B31" s="34" t="s">
        <v>375</v>
      </c>
      <c r="C31" s="31">
        <v>530</v>
      </c>
      <c r="D31" s="24" t="str">
        <f>IF(C31&lt;=0,"",VLOOKUP(C31,[12]FF!A:D,2,0))</f>
        <v>PARTICIPACIONES Ramo 28</v>
      </c>
      <c r="E31" s="31" t="s">
        <v>376</v>
      </c>
      <c r="F31" s="32" t="s">
        <v>22</v>
      </c>
      <c r="G31" s="28">
        <v>311001</v>
      </c>
      <c r="H31" s="25" t="str">
        <f>IF(G31&lt;=0,"",VLOOKUP(G31,[12]COG!A:H,2,0))</f>
        <v>Servicio de energía eléctrica</v>
      </c>
      <c r="I31" s="26"/>
      <c r="J31" s="26"/>
      <c r="K31" s="26"/>
      <c r="L31" s="26"/>
      <c r="M31" s="27">
        <f>SUM(Tabla17[[#This Row],[TRIMESTRE  I]:[TRIMESTRE IV]])</f>
        <v>0</v>
      </c>
      <c r="N31" s="33"/>
      <c r="O31" s="33"/>
      <c r="P31" s="28"/>
    </row>
    <row r="32" spans="1:16" ht="25.5" x14ac:dyDescent="0.25">
      <c r="A32" s="30">
        <v>500</v>
      </c>
      <c r="B32" s="34" t="s">
        <v>375</v>
      </c>
      <c r="C32" s="31">
        <v>530</v>
      </c>
      <c r="D32" s="24" t="str">
        <f>IF(C32&lt;=0,"",VLOOKUP(C32,[12]FF!A:D,2,0))</f>
        <v>PARTICIPACIONES Ramo 28</v>
      </c>
      <c r="E32" s="31" t="s">
        <v>376</v>
      </c>
      <c r="F32" s="32" t="s">
        <v>22</v>
      </c>
      <c r="G32" s="28">
        <v>314001</v>
      </c>
      <c r="H32" s="25" t="str">
        <f>IF(G32&lt;=0,"",VLOOKUP(G32,[12]COG!A:H,2,0))</f>
        <v>Servicio telefónico</v>
      </c>
      <c r="I32" s="26"/>
      <c r="J32" s="26"/>
      <c r="K32" s="26"/>
      <c r="L32" s="26"/>
      <c r="M32" s="27">
        <f>SUM(Tabla17[[#This Row],[TRIMESTRE  I]:[TRIMESTRE IV]])</f>
        <v>0</v>
      </c>
      <c r="N32" s="33"/>
      <c r="O32" s="33"/>
      <c r="P32" s="28"/>
    </row>
    <row r="33" spans="1:16" ht="25.5" x14ac:dyDescent="0.25">
      <c r="A33" s="30">
        <v>500</v>
      </c>
      <c r="B33" s="34" t="s">
        <v>375</v>
      </c>
      <c r="C33" s="31">
        <v>530</v>
      </c>
      <c r="D33" s="24" t="str">
        <f>IF(C33&lt;=0,"",VLOOKUP(C33,[12]FF!A:D,2,0))</f>
        <v>PARTICIPACIONES Ramo 28</v>
      </c>
      <c r="E33" s="31" t="s">
        <v>376</v>
      </c>
      <c r="F33" s="32" t="s">
        <v>22</v>
      </c>
      <c r="G33" s="28">
        <v>318001</v>
      </c>
      <c r="H33" s="25" t="str">
        <f>IF(G33&lt;=0,"",VLOOKUP(G33,[12]COG!A:H,2,0))</f>
        <v>Servicio postal y telegráfico</v>
      </c>
      <c r="I33" s="26">
        <v>200000</v>
      </c>
      <c r="J33" s="26">
        <v>200000</v>
      </c>
      <c r="K33" s="26">
        <v>200000</v>
      </c>
      <c r="L33" s="26">
        <v>200000</v>
      </c>
      <c r="M33" s="27">
        <f>SUM(Tabla17[[#This Row],[TRIMESTRE  I]:[TRIMESTRE IV]])</f>
        <v>800000</v>
      </c>
      <c r="N33" s="33"/>
      <c r="O33" s="33"/>
      <c r="P33" s="28"/>
    </row>
    <row r="34" spans="1:16" ht="25.5" x14ac:dyDescent="0.25">
      <c r="A34" s="30">
        <v>500</v>
      </c>
      <c r="B34" s="34" t="s">
        <v>375</v>
      </c>
      <c r="C34" s="31">
        <v>530</v>
      </c>
      <c r="D34" s="24" t="str">
        <f>IF(C34&lt;=0,"",VLOOKUP(C34,[12]FF!A:D,2,0))</f>
        <v>PARTICIPACIONES Ramo 28</v>
      </c>
      <c r="E34" s="31" t="s">
        <v>376</v>
      </c>
      <c r="F34" s="32" t="s">
        <v>21</v>
      </c>
      <c r="G34" s="28">
        <v>519001</v>
      </c>
      <c r="H34" s="25" t="str">
        <f>IF(G34&lt;=0,"",VLOOKUP(G34,[12]COG!A:H,2,0))</f>
        <v>Cámaras y Circuitos Cerrados de Seguridad</v>
      </c>
      <c r="I34" s="26">
        <v>30000</v>
      </c>
      <c r="J34" s="26">
        <v>30000</v>
      </c>
      <c r="K34" s="26">
        <v>30000</v>
      </c>
      <c r="L34" s="26">
        <v>30000</v>
      </c>
      <c r="M34" s="27">
        <f>SUM(Tabla17[[#This Row],[TRIMESTRE  I]:[TRIMESTRE IV]])</f>
        <v>120000</v>
      </c>
      <c r="N34" s="33"/>
      <c r="O34" s="33"/>
      <c r="P34" s="28"/>
    </row>
    <row r="35" spans="1:16" ht="25.5" x14ac:dyDescent="0.25">
      <c r="A35" s="30">
        <v>500</v>
      </c>
      <c r="B35" s="34" t="s">
        <v>375</v>
      </c>
      <c r="C35" s="31">
        <v>530</v>
      </c>
      <c r="D35" s="24" t="str">
        <f>IF(C35&lt;=0,"",VLOOKUP(C35,[12]FF!A:D,2,0))</f>
        <v>PARTICIPACIONES Ramo 28</v>
      </c>
      <c r="E35" s="31" t="s">
        <v>376</v>
      </c>
      <c r="F35" s="32" t="s">
        <v>21</v>
      </c>
      <c r="G35" s="28">
        <v>541001</v>
      </c>
      <c r="H35" s="25" t="str">
        <f>IF(G35&lt;=0,"",VLOOKUP(G35,[12]COG!A:H,2,0))</f>
        <v>Vehículos y equipo terrestre</v>
      </c>
      <c r="I35" s="26"/>
      <c r="J35" s="26">
        <v>20000</v>
      </c>
      <c r="K35" s="26"/>
      <c r="L35" s="26"/>
      <c r="M35" s="27">
        <f>SUM(Tabla17[[#This Row],[TRIMESTRE  I]:[TRIMESTRE IV]])</f>
        <v>20000</v>
      </c>
      <c r="N35" s="33"/>
      <c r="O35" s="33"/>
      <c r="P35" s="28"/>
    </row>
    <row r="36" spans="1:16" ht="25.5" x14ac:dyDescent="0.25">
      <c r="A36" s="30">
        <v>500</v>
      </c>
      <c r="B36" s="34" t="s">
        <v>375</v>
      </c>
      <c r="C36" s="31">
        <v>530</v>
      </c>
      <c r="D36" s="24" t="str">
        <f>IF(C36&lt;=0,"",VLOOKUP(C36,[12]FF!A:D,2,0))</f>
        <v>PARTICIPACIONES Ramo 28</v>
      </c>
      <c r="E36" s="31" t="s">
        <v>376</v>
      </c>
      <c r="F36" s="32" t="s">
        <v>22</v>
      </c>
      <c r="G36" s="28">
        <v>319001</v>
      </c>
      <c r="H36" s="25" t="str">
        <f>IF(G36&lt;=0,"",VLOOKUP(G36,[12]COG!A:H,2,0))</f>
        <v>Servicios Integrales</v>
      </c>
      <c r="I36" s="26">
        <v>6250000</v>
      </c>
      <c r="J36" s="26"/>
      <c r="K36" s="26"/>
      <c r="L36" s="26"/>
      <c r="M36" s="27">
        <f>SUM(Tabla17[[#This Row],[TRIMESTRE  I]:[TRIMESTRE IV]])</f>
        <v>6250000</v>
      </c>
      <c r="N36" s="33"/>
      <c r="O36" s="33"/>
      <c r="P36" s="28"/>
    </row>
    <row r="37" spans="1:16" ht="25.5" x14ac:dyDescent="0.25">
      <c r="A37" s="30">
        <v>500</v>
      </c>
      <c r="B37" s="34" t="s">
        <v>375</v>
      </c>
      <c r="C37" s="31">
        <v>530</v>
      </c>
      <c r="D37" s="24" t="str">
        <f>IF(C37&lt;=0,"",VLOOKUP(C37,[12]FF!A:D,2,0))</f>
        <v>PARTICIPACIONES Ramo 28</v>
      </c>
      <c r="E37" s="31" t="s">
        <v>376</v>
      </c>
      <c r="F37" s="32" t="s">
        <v>22</v>
      </c>
      <c r="G37" s="28">
        <v>337001</v>
      </c>
      <c r="H37" s="25" t="str">
        <f>IF(G37&lt;=0,"",VLOOKUP(G37,[12]COG!A:H,2,0))</f>
        <v>Dispositivo de seguridad pública</v>
      </c>
      <c r="I37" s="26">
        <v>11000</v>
      </c>
      <c r="J37" s="26">
        <v>11000</v>
      </c>
      <c r="K37" s="26">
        <v>11000</v>
      </c>
      <c r="L37" s="26">
        <v>11000</v>
      </c>
      <c r="M37" s="27">
        <f>SUM(Tabla17[[#This Row],[TRIMESTRE  I]:[TRIMESTRE IV]])</f>
        <v>44000</v>
      </c>
      <c r="N37" s="33"/>
      <c r="O37" s="33"/>
      <c r="P37" s="28"/>
    </row>
    <row r="38" spans="1:16" ht="25.5" x14ac:dyDescent="0.25">
      <c r="A38" s="30">
        <v>500</v>
      </c>
      <c r="B38" s="34" t="s">
        <v>375</v>
      </c>
      <c r="C38" s="31">
        <v>530</v>
      </c>
      <c r="D38" s="24" t="str">
        <f>IF(C38&lt;=0,"",VLOOKUP(C38,[12]FF!A:D,2,0))</f>
        <v>PARTICIPACIONES Ramo 28</v>
      </c>
      <c r="E38" s="31" t="s">
        <v>376</v>
      </c>
      <c r="F38" s="32" t="s">
        <v>22</v>
      </c>
      <c r="G38" s="28">
        <v>347000</v>
      </c>
      <c r="H38" s="25" t="str">
        <f>IF(G38&lt;=0,"",VLOOKUP(G38,[12]COG!A:H,2,0))</f>
        <v>Fletes y maniobras</v>
      </c>
      <c r="I38" s="26">
        <v>10000</v>
      </c>
      <c r="J38" s="26">
        <v>10000</v>
      </c>
      <c r="K38" s="26">
        <v>10000</v>
      </c>
      <c r="L38" s="26">
        <v>10000</v>
      </c>
      <c r="M38" s="27">
        <f>SUM(Tabla17[[#This Row],[TRIMESTRE  I]:[TRIMESTRE IV]])</f>
        <v>40000</v>
      </c>
      <c r="N38" s="33"/>
      <c r="O38" s="33"/>
      <c r="P38" s="28"/>
    </row>
    <row r="39" spans="1:16" ht="25.5" x14ac:dyDescent="0.25">
      <c r="A39" s="30">
        <v>500</v>
      </c>
      <c r="B39" s="34" t="s">
        <v>375</v>
      </c>
      <c r="C39" s="31">
        <v>530</v>
      </c>
      <c r="D39" s="24" t="str">
        <f>IF(C39&lt;=0,"",VLOOKUP(C39,[12]FF!A:D,2,0))</f>
        <v>PARTICIPACIONES Ramo 28</v>
      </c>
      <c r="E39" s="31" t="s">
        <v>376</v>
      </c>
      <c r="F39" s="32" t="s">
        <v>22</v>
      </c>
      <c r="G39" s="28">
        <v>353001</v>
      </c>
      <c r="H39" s="25" t="str">
        <f>IF(G39&lt;=0,"",VLOOKUP(G39,[12]COG!A:H,2,0))</f>
        <v>Instalación, reparación y mantenimiento de equipo de cómputo y tecnología  de la información</v>
      </c>
      <c r="I39" s="26">
        <v>5000000</v>
      </c>
      <c r="J39" s="26">
        <v>5000000</v>
      </c>
      <c r="K39" s="26">
        <v>5000000</v>
      </c>
      <c r="L39" s="26">
        <v>5000000</v>
      </c>
      <c r="M39" s="27">
        <f>SUM(Tabla17[[#This Row],[TRIMESTRE  I]:[TRIMESTRE IV]])</f>
        <v>20000000</v>
      </c>
      <c r="N39" s="33"/>
      <c r="O39" s="33"/>
      <c r="P39" s="28"/>
    </row>
    <row r="40" spans="1:16" ht="25.5" x14ac:dyDescent="0.25">
      <c r="A40" s="30">
        <v>500</v>
      </c>
      <c r="B40" s="34" t="s">
        <v>375</v>
      </c>
      <c r="C40" s="31">
        <v>530</v>
      </c>
      <c r="D40" s="24" t="str">
        <f>IF(C40&lt;=0,"",VLOOKUP(C40,[12]FF!A:D,2,0))</f>
        <v>PARTICIPACIONES Ramo 28</v>
      </c>
      <c r="E40" s="31" t="s">
        <v>376</v>
      </c>
      <c r="F40" s="32" t="s">
        <v>21</v>
      </c>
      <c r="G40" s="28">
        <v>597001</v>
      </c>
      <c r="H40" s="25" t="str">
        <f>IF(G40&lt;=0,"",VLOOKUP(G40,[12]COG!A:H,2,0))</f>
        <v>Licencias para programas de antivirus</v>
      </c>
      <c r="I40" s="26">
        <v>9000000</v>
      </c>
      <c r="J40" s="26">
        <v>9000000</v>
      </c>
      <c r="K40" s="26">
        <v>9000000</v>
      </c>
      <c r="L40" s="26">
        <v>9000000</v>
      </c>
      <c r="M40" s="27">
        <f>SUM(Tabla17[[#This Row],[TRIMESTRE  I]:[TRIMESTRE IV]])</f>
        <v>36000000</v>
      </c>
      <c r="N40" s="33"/>
      <c r="O40" s="33"/>
      <c r="P40" s="28"/>
    </row>
    <row r="41" spans="1:16" ht="25.5" x14ac:dyDescent="0.25">
      <c r="A41" s="30">
        <v>500</v>
      </c>
      <c r="B41" s="34" t="s">
        <v>375</v>
      </c>
      <c r="C41" s="31">
        <v>530</v>
      </c>
      <c r="D41" s="24" t="str">
        <f>IF(C41&lt;=0,"",VLOOKUP(C41,[12]FF!A:D,2,0))</f>
        <v>PARTICIPACIONES Ramo 28</v>
      </c>
      <c r="E41" s="31" t="s">
        <v>376</v>
      </c>
      <c r="F41" s="32" t="s">
        <v>21</v>
      </c>
      <c r="G41" s="28">
        <v>597002</v>
      </c>
      <c r="H41" s="25" t="str">
        <f>IF(G41&lt;=0,"",VLOOKUP(G41,[12]COG!A:H,2,0))</f>
        <v>Licencias Microsoft Windows server 2003 edición estándar</v>
      </c>
      <c r="I41" s="26">
        <v>500000</v>
      </c>
      <c r="J41" s="26">
        <v>500000</v>
      </c>
      <c r="K41" s="26">
        <v>500000</v>
      </c>
      <c r="L41" s="26">
        <v>500000</v>
      </c>
      <c r="M41" s="27">
        <f>SUM(Tabla17[[#This Row],[TRIMESTRE  I]:[TRIMESTRE IV]])</f>
        <v>2000000</v>
      </c>
      <c r="N41" s="33"/>
      <c r="O41" s="33"/>
      <c r="P41" s="28"/>
    </row>
    <row r="42" spans="1:16" ht="25.5" x14ac:dyDescent="0.25">
      <c r="A42" s="30">
        <v>500</v>
      </c>
      <c r="B42" s="34" t="s">
        <v>375</v>
      </c>
      <c r="C42" s="31">
        <v>530</v>
      </c>
      <c r="D42" s="24" t="str">
        <f>IF(C42&lt;=0,"",VLOOKUP(C42,[12]FF!A:D,2,0))</f>
        <v>PARTICIPACIONES Ramo 28</v>
      </c>
      <c r="E42" s="31" t="s">
        <v>376</v>
      </c>
      <c r="F42" s="32" t="s">
        <v>15</v>
      </c>
      <c r="G42" s="28">
        <v>246001</v>
      </c>
      <c r="H42" s="25" t="str">
        <f>IF(G42&lt;=0,"",VLOOKUP(G42,[12]COG!A:H,2,0))</f>
        <v>Material eléctrico</v>
      </c>
      <c r="I42" s="26">
        <v>32000</v>
      </c>
      <c r="J42" s="26">
        <v>32000</v>
      </c>
      <c r="K42" s="26">
        <v>32000</v>
      </c>
      <c r="L42" s="26">
        <v>32000</v>
      </c>
      <c r="M42" s="27">
        <f>SUM(Tabla17[[#This Row],[TRIMESTRE  I]:[TRIMESTRE IV]])</f>
        <v>128000</v>
      </c>
      <c r="N42" s="33"/>
      <c r="O42" s="33"/>
      <c r="P42" s="28"/>
    </row>
    <row r="43" spans="1:16" ht="25.5" x14ac:dyDescent="0.25">
      <c r="A43" s="30">
        <v>500</v>
      </c>
      <c r="B43" s="34" t="s">
        <v>375</v>
      </c>
      <c r="C43" s="31">
        <v>530</v>
      </c>
      <c r="D43" s="24" t="str">
        <f>IF(C43&lt;=0,"",VLOOKUP(C43,[12]FF!A:D,2,0))</f>
        <v>PARTICIPACIONES Ramo 28</v>
      </c>
      <c r="E43" s="31" t="s">
        <v>376</v>
      </c>
      <c r="F43" s="32" t="s">
        <v>15</v>
      </c>
      <c r="G43" s="28">
        <v>261002</v>
      </c>
      <c r="H43" s="25" t="str">
        <f>IF(G43&lt;=0,"",VLOOKUP(G43,[12]COG!A:H,2,0))</f>
        <v>Lubricantes y aditivos</v>
      </c>
      <c r="I43" s="26">
        <v>8000</v>
      </c>
      <c r="J43" s="26">
        <v>8000</v>
      </c>
      <c r="K43" s="26">
        <v>8000</v>
      </c>
      <c r="L43" s="26">
        <v>8000</v>
      </c>
      <c r="M43" s="27">
        <f>SUM(Tabla17[[#This Row],[TRIMESTRE  I]:[TRIMESTRE IV]])</f>
        <v>32000</v>
      </c>
      <c r="N43" s="33"/>
      <c r="O43" s="33"/>
      <c r="P43" s="28"/>
    </row>
    <row r="44" spans="1:16" ht="25.5" x14ac:dyDescent="0.25">
      <c r="A44" s="30">
        <v>500</v>
      </c>
      <c r="B44" s="34" t="s">
        <v>375</v>
      </c>
      <c r="C44" s="31">
        <v>530</v>
      </c>
      <c r="D44" s="24" t="str">
        <f>IF(C44&lt;=0,"",VLOOKUP(C44,[12]FF!A:D,2,0))</f>
        <v>PARTICIPACIONES Ramo 28</v>
      </c>
      <c r="E44" s="31" t="s">
        <v>376</v>
      </c>
      <c r="F44" s="32" t="s">
        <v>15</v>
      </c>
      <c r="G44" s="28">
        <v>291001</v>
      </c>
      <c r="H44" s="25" t="str">
        <f>IF(G44&lt;=0,"",VLOOKUP(G44,[12]COG!A:H,2,0))</f>
        <v>Herramientas Auxiliares de Trabajo</v>
      </c>
      <c r="I44" s="26">
        <v>9300</v>
      </c>
      <c r="J44" s="26">
        <v>9300</v>
      </c>
      <c r="K44" s="26">
        <v>9300</v>
      </c>
      <c r="L44" s="26">
        <v>9300</v>
      </c>
      <c r="M44" s="27">
        <f>SUM(Tabla17[[#This Row],[TRIMESTRE  I]:[TRIMESTRE IV]])</f>
        <v>37200</v>
      </c>
      <c r="N44" s="33"/>
      <c r="O44" s="33"/>
      <c r="P44" s="28"/>
    </row>
    <row r="45" spans="1:16" ht="25.5" x14ac:dyDescent="0.25">
      <c r="A45" s="30">
        <v>500</v>
      </c>
      <c r="B45" s="34" t="s">
        <v>375</v>
      </c>
      <c r="C45" s="31">
        <v>530</v>
      </c>
      <c r="D45" s="24" t="str">
        <f>IF(C45&lt;=0,"",VLOOKUP(C45,[12]FF!A:D,2,0))</f>
        <v>PARTICIPACIONES Ramo 28</v>
      </c>
      <c r="E45" s="31" t="s">
        <v>376</v>
      </c>
      <c r="F45" s="32" t="s">
        <v>15</v>
      </c>
      <c r="G45" s="28">
        <v>292001</v>
      </c>
      <c r="H45" s="25" t="str">
        <f>IF(G45&lt;=0,"",VLOOKUP(G45,[12]COG!A:H,2,0))</f>
        <v>Refacciones y accesorios menores de edificios (candados, cerraduras, chapas, llaves)</v>
      </c>
      <c r="I45" s="26">
        <v>3000</v>
      </c>
      <c r="J45" s="26">
        <v>3000</v>
      </c>
      <c r="K45" s="26">
        <v>3000</v>
      </c>
      <c r="L45" s="26">
        <v>3000</v>
      </c>
      <c r="M45" s="27">
        <f>SUM(Tabla17[[#This Row],[TRIMESTRE  I]:[TRIMESTRE IV]])</f>
        <v>12000</v>
      </c>
      <c r="N45" s="33"/>
      <c r="O45" s="33"/>
      <c r="P45" s="28"/>
    </row>
    <row r="46" spans="1:16" ht="25.5" x14ac:dyDescent="0.25">
      <c r="A46" s="30">
        <v>500</v>
      </c>
      <c r="B46" s="34" t="s">
        <v>375</v>
      </c>
      <c r="C46" s="31">
        <v>530</v>
      </c>
      <c r="D46" s="24" t="str">
        <f>IF(C46&lt;=0,"",VLOOKUP(C46,[12]FF!A:D,2,0))</f>
        <v>PARTICIPACIONES Ramo 28</v>
      </c>
      <c r="E46" s="31" t="s">
        <v>376</v>
      </c>
      <c r="F46" s="32" t="s">
        <v>15</v>
      </c>
      <c r="G46" s="28">
        <v>211000</v>
      </c>
      <c r="H46" s="25" t="str">
        <f>IF(G46&lt;=0,"",VLOOKUP(G46,[12]COG!A:H,2,0))</f>
        <v>Materiales, útiles y equipos menores de oficina</v>
      </c>
      <c r="I46" s="26">
        <v>70000</v>
      </c>
      <c r="J46" s="26">
        <v>70000</v>
      </c>
      <c r="K46" s="26">
        <v>70000</v>
      </c>
      <c r="L46" s="26">
        <v>70000</v>
      </c>
      <c r="M46" s="27">
        <f>SUM(Tabla17[[#This Row],[TRIMESTRE  I]:[TRIMESTRE IV]])</f>
        <v>280000</v>
      </c>
      <c r="N46" s="33"/>
      <c r="O46" s="33"/>
      <c r="P46" s="28"/>
    </row>
    <row r="47" spans="1:16" ht="25.5" x14ac:dyDescent="0.25">
      <c r="A47" s="30">
        <v>500</v>
      </c>
      <c r="B47" s="34" t="s">
        <v>375</v>
      </c>
      <c r="C47" s="31">
        <v>530</v>
      </c>
      <c r="D47" s="24" t="str">
        <f>IF(C47&lt;=0,"",VLOOKUP(C47,[12]FF!A:D,2,0))</f>
        <v>PARTICIPACIONES Ramo 28</v>
      </c>
      <c r="E47" s="31" t="s">
        <v>376</v>
      </c>
      <c r="F47" s="32" t="s">
        <v>22</v>
      </c>
      <c r="G47" s="28">
        <v>331000</v>
      </c>
      <c r="H47" s="25" t="str">
        <f>IF(G47&lt;=0,"",VLOOKUP(G47,[12]COG!A:H,2,0))</f>
        <v>Servicios legales, de contabilidad, auditoría y relacionados</v>
      </c>
      <c r="I47" s="26">
        <v>60000</v>
      </c>
      <c r="J47" s="26">
        <v>60000</v>
      </c>
      <c r="K47" s="26">
        <v>60000</v>
      </c>
      <c r="L47" s="26">
        <v>60000</v>
      </c>
      <c r="M47" s="27">
        <f>SUM(Tabla17[[#This Row],[TRIMESTRE  I]:[TRIMESTRE IV]])</f>
        <v>240000</v>
      </c>
      <c r="N47" s="33"/>
      <c r="O47" s="33"/>
      <c r="P47" s="28"/>
    </row>
    <row r="48" spans="1:16" ht="25.5" x14ac:dyDescent="0.25">
      <c r="A48" s="30">
        <v>500</v>
      </c>
      <c r="B48" s="34" t="s">
        <v>375</v>
      </c>
      <c r="C48" s="31">
        <v>530</v>
      </c>
      <c r="D48" s="24" t="str">
        <f>IF(C48&lt;=0,"",VLOOKUP(C48,[12]FF!A:D,2,0))</f>
        <v>PARTICIPACIONES Ramo 28</v>
      </c>
      <c r="E48" s="31" t="s">
        <v>376</v>
      </c>
      <c r="F48" s="32" t="s">
        <v>21</v>
      </c>
      <c r="G48" s="28">
        <v>515000</v>
      </c>
      <c r="H48" s="25" t="str">
        <f>IF(G48&lt;=0,"",VLOOKUP(G48,[12]COG!A:H,2,0))</f>
        <v>Equipo de cómputo y de tecnologías de la información</v>
      </c>
      <c r="I48" s="26">
        <v>9000000</v>
      </c>
      <c r="J48" s="26">
        <v>9000000</v>
      </c>
      <c r="K48" s="26">
        <v>9000000</v>
      </c>
      <c r="L48" s="26">
        <v>9000000</v>
      </c>
      <c r="M48" s="27">
        <f>SUM(Tabla17[[#This Row],[TRIMESTRE  I]:[TRIMESTRE IV]])</f>
        <v>36000000</v>
      </c>
      <c r="N48" s="33"/>
      <c r="O48" s="33"/>
      <c r="P48" s="28"/>
    </row>
    <row r="49" spans="1:16" ht="25.5" x14ac:dyDescent="0.25">
      <c r="A49" s="30">
        <v>500</v>
      </c>
      <c r="B49" s="34" t="s">
        <v>375</v>
      </c>
      <c r="C49" s="31">
        <v>530</v>
      </c>
      <c r="D49" s="24" t="str">
        <f>IF(C49&lt;=0,"",VLOOKUP(C49,[12]FF!A:D,2,0))</f>
        <v>PARTICIPACIONES Ramo 28</v>
      </c>
      <c r="E49" s="31" t="s">
        <v>376</v>
      </c>
      <c r="F49" s="32" t="s">
        <v>21</v>
      </c>
      <c r="G49" s="28">
        <v>597000</v>
      </c>
      <c r="H49" s="25" t="str">
        <f>IF(G49&lt;=0,"",VLOOKUP(G49,[12]COG!A:H,2,0))</f>
        <v>Licencias informáticas e intelectuales</v>
      </c>
      <c r="I49" s="26">
        <v>9000000</v>
      </c>
      <c r="J49" s="26">
        <v>9000000</v>
      </c>
      <c r="K49" s="26">
        <v>9000000</v>
      </c>
      <c r="L49" s="26">
        <v>9000000</v>
      </c>
      <c r="M49" s="27">
        <f>SUM(Tabla17[[#This Row],[TRIMESTRE  I]:[TRIMESTRE IV]])</f>
        <v>36000000</v>
      </c>
      <c r="N49" s="33"/>
      <c r="O49" s="33"/>
      <c r="P49" s="28"/>
    </row>
    <row r="50" spans="1:16" ht="25.5" x14ac:dyDescent="0.25">
      <c r="A50" s="30">
        <v>500</v>
      </c>
      <c r="B50" s="34" t="s">
        <v>375</v>
      </c>
      <c r="C50" s="31">
        <v>530</v>
      </c>
      <c r="D50" s="24" t="str">
        <f>IF(C50&lt;=0,"",VLOOKUP(C50,[12]FF!A:D,2,0))</f>
        <v>PARTICIPACIONES Ramo 28</v>
      </c>
      <c r="E50" s="31" t="s">
        <v>376</v>
      </c>
      <c r="F50" s="32" t="s">
        <v>15</v>
      </c>
      <c r="G50" s="28">
        <v>212000</v>
      </c>
      <c r="H50" s="25" t="str">
        <f>IF(G50&lt;=0,"",VLOOKUP(G50,[12]COG!A:H,2,0))</f>
        <v>Materiales y útiles de impresión y reproducción</v>
      </c>
      <c r="I50" s="26">
        <v>7000000</v>
      </c>
      <c r="J50" s="26">
        <v>7000000</v>
      </c>
      <c r="K50" s="26">
        <v>7000000</v>
      </c>
      <c r="L50" s="26">
        <v>7000000</v>
      </c>
      <c r="M50" s="27">
        <f>SUM(Tabla17[[#This Row],[TRIMESTRE  I]:[TRIMESTRE IV]])</f>
        <v>28000000</v>
      </c>
      <c r="N50" s="33"/>
      <c r="O50" s="33"/>
      <c r="P50" s="28"/>
    </row>
    <row r="51" spans="1:16" ht="25.5" x14ac:dyDescent="0.25">
      <c r="A51" s="30">
        <v>500</v>
      </c>
      <c r="B51" s="34" t="s">
        <v>375</v>
      </c>
      <c r="C51" s="31">
        <v>530</v>
      </c>
      <c r="D51" s="24" t="str">
        <f>IF(C51&lt;=0,"",VLOOKUP(C51,[12]FF!A:D,2,0))</f>
        <v>PARTICIPACIONES Ramo 28</v>
      </c>
      <c r="E51" s="31" t="s">
        <v>376</v>
      </c>
      <c r="F51" s="32" t="s">
        <v>22</v>
      </c>
      <c r="G51" s="28">
        <v>330000</v>
      </c>
      <c r="H51" s="25" t="str">
        <f>IF(G51&lt;=0,"",VLOOKUP(G51,[12]COG!A:H,2,0))</f>
        <v>SERVICIOS PROFESIONALES, CIENTÍFICOS, TÉCNICOS Y OTROS SERVICIOS</v>
      </c>
      <c r="I51" s="26">
        <v>8500000</v>
      </c>
      <c r="J51" s="26">
        <v>8500000</v>
      </c>
      <c r="K51" s="26">
        <v>8500000</v>
      </c>
      <c r="L51" s="26">
        <v>8500000</v>
      </c>
      <c r="M51" s="27">
        <f>SUM(Tabla17[[#This Row],[TRIMESTRE  I]:[TRIMESTRE IV]])</f>
        <v>34000000</v>
      </c>
      <c r="N51" s="33"/>
      <c r="O51" s="33"/>
      <c r="P51" s="28"/>
    </row>
    <row r="52" spans="1:16" ht="25.5" x14ac:dyDescent="0.25">
      <c r="A52" s="30">
        <v>500</v>
      </c>
      <c r="B52" s="34" t="s">
        <v>375</v>
      </c>
      <c r="C52" s="31">
        <v>530</v>
      </c>
      <c r="D52" s="24" t="str">
        <f>IF(C52&lt;=0,"",VLOOKUP(C52,[12]FF!A:D,2,0))</f>
        <v>PARTICIPACIONES Ramo 28</v>
      </c>
      <c r="E52" s="31" t="s">
        <v>376</v>
      </c>
      <c r="F52" s="32" t="s">
        <v>15</v>
      </c>
      <c r="G52" s="28">
        <v>216000</v>
      </c>
      <c r="H52" s="25" t="str">
        <f>IF(G52&lt;=0,"",VLOOKUP(G52,[12]COG!A:H,2,0))</f>
        <v>Material de limpieza</v>
      </c>
      <c r="I52" s="26"/>
      <c r="J52" s="26"/>
      <c r="K52" s="26"/>
      <c r="L52" s="26"/>
      <c r="M52" s="27">
        <f>SUM(Tabla17[[#This Row],[TRIMESTRE  I]:[TRIMESTRE IV]])</f>
        <v>0</v>
      </c>
      <c r="N52" s="33"/>
      <c r="O52" s="33"/>
      <c r="P52" s="28"/>
    </row>
    <row r="53" spans="1:16" ht="25.5" x14ac:dyDescent="0.25">
      <c r="A53" s="30">
        <v>500</v>
      </c>
      <c r="B53" s="34" t="s">
        <v>375</v>
      </c>
      <c r="C53" s="31">
        <v>530</v>
      </c>
      <c r="D53" s="24" t="str">
        <f>IF(C53&lt;=0,"",VLOOKUP(C53,[12]FF!A:D,2,0))</f>
        <v>PARTICIPACIONES Ramo 28</v>
      </c>
      <c r="E53" s="31" t="s">
        <v>376</v>
      </c>
      <c r="F53" s="32" t="s">
        <v>21</v>
      </c>
      <c r="G53" s="28">
        <v>565000</v>
      </c>
      <c r="H53" s="25" t="str">
        <f>IF(G53&lt;=0,"",VLOOKUP(G53,[12]COG!A:H,2,0))</f>
        <v>Equipo de comunicación y telecomunicación</v>
      </c>
      <c r="I53" s="26">
        <v>40000000</v>
      </c>
      <c r="J53" s="26"/>
      <c r="K53" s="26"/>
      <c r="L53" s="26"/>
      <c r="M53" s="27">
        <f>SUM(Tabla17[[#This Row],[TRIMESTRE  I]:[TRIMESTRE IV]])</f>
        <v>40000000</v>
      </c>
      <c r="N53" s="33"/>
      <c r="O53" s="33"/>
      <c r="P53" s="28"/>
    </row>
    <row r="54" spans="1:16" ht="25.5" x14ac:dyDescent="0.25">
      <c r="A54" s="30">
        <v>500</v>
      </c>
      <c r="B54" s="34" t="s">
        <v>375</v>
      </c>
      <c r="C54" s="31">
        <v>530</v>
      </c>
      <c r="D54" s="24" t="str">
        <f>IF(C54&lt;=0,"",VLOOKUP(C54,[12]FF!A:D,2,0))</f>
        <v>PARTICIPACIONES Ramo 28</v>
      </c>
      <c r="E54" s="31" t="s">
        <v>376</v>
      </c>
      <c r="F54" s="32" t="s">
        <v>15</v>
      </c>
      <c r="G54" s="28">
        <v>214001</v>
      </c>
      <c r="H54" s="25" t="str">
        <f>IF(G54&lt;=0,"",VLOOKUP(G54,[12]COG!A:H,2,0))</f>
        <v>Materiales, útiles y equipos menores de tecnologías de la información y comunicaciones</v>
      </c>
      <c r="I54" s="26">
        <v>30000</v>
      </c>
      <c r="J54" s="26">
        <v>30000</v>
      </c>
      <c r="K54" s="26">
        <v>30000</v>
      </c>
      <c r="L54" s="26">
        <v>30000</v>
      </c>
      <c r="M54" s="27">
        <f>SUM(Tabla17[[#This Row],[TRIMESTRE  I]:[TRIMESTRE IV]])</f>
        <v>120000</v>
      </c>
      <c r="N54" s="33"/>
      <c r="O54" s="33"/>
      <c r="P54" s="28"/>
    </row>
    <row r="55" spans="1:16" ht="25.5" x14ac:dyDescent="0.25">
      <c r="A55" s="30">
        <v>500</v>
      </c>
      <c r="B55" s="34" t="s">
        <v>375</v>
      </c>
      <c r="C55" s="31">
        <v>530</v>
      </c>
      <c r="D55" s="24" t="str">
        <f>IF(C55&lt;=0,"",VLOOKUP(C55,[12]FF!A:D,2,0))</f>
        <v>PARTICIPACIONES Ramo 28</v>
      </c>
      <c r="E55" s="31" t="s">
        <v>376</v>
      </c>
      <c r="F55" s="32" t="s">
        <v>15</v>
      </c>
      <c r="G55" s="28">
        <v>218002</v>
      </c>
      <c r="H55" s="25" t="str">
        <f>IF(G55&lt;=0,"",VLOOKUP(G55,[12]COG!A:H,2,0))</f>
        <v>Placas, Engomados, Calcomanías y Hologramas</v>
      </c>
      <c r="I55" s="26">
        <v>7415798.9000000004</v>
      </c>
      <c r="J55" s="26">
        <v>5412442.8300000001</v>
      </c>
      <c r="K55" s="26">
        <v>4104543.08</v>
      </c>
      <c r="L55" s="26">
        <v>4998398.26</v>
      </c>
      <c r="M55" s="27">
        <f>SUM(Tabla17[[#This Row],[TRIMESTRE  I]:[TRIMESTRE IV]])</f>
        <v>21931183.07</v>
      </c>
      <c r="N55" s="33"/>
      <c r="O55" s="33"/>
      <c r="P55" s="28"/>
    </row>
    <row r="56" spans="1:16" ht="25.5" x14ac:dyDescent="0.25">
      <c r="A56" s="30">
        <v>500</v>
      </c>
      <c r="B56" s="34" t="s">
        <v>375</v>
      </c>
      <c r="C56" s="31">
        <v>530</v>
      </c>
      <c r="D56" s="24" t="str">
        <f>IF(C56&lt;=0,"",VLOOKUP(C56,[12]FF!A:D,2,0))</f>
        <v>PARTICIPACIONES Ramo 28</v>
      </c>
      <c r="E56" s="31" t="s">
        <v>376</v>
      </c>
      <c r="F56" s="32" t="s">
        <v>15</v>
      </c>
      <c r="G56" s="28">
        <v>218003</v>
      </c>
      <c r="H56" s="25" t="str">
        <f>IF(G56&lt;=0,"",VLOOKUP(G56,[12]COG!A:H,2,0))</f>
        <v>Emisión de Licencias de Conducir</v>
      </c>
      <c r="I56" s="26">
        <v>4185662.73</v>
      </c>
      <c r="J56" s="26">
        <v>3598982.93</v>
      </c>
      <c r="K56" s="26">
        <v>2733456.57</v>
      </c>
      <c r="L56" s="26">
        <v>3393439.37</v>
      </c>
      <c r="M56" s="27">
        <f>SUM(Tabla17[[#This Row],[TRIMESTRE  I]:[TRIMESTRE IV]])</f>
        <v>13911541.600000001</v>
      </c>
      <c r="N56" s="33"/>
      <c r="O56" s="33"/>
      <c r="P56" s="28"/>
    </row>
    <row r="57" spans="1:16" ht="25.5" x14ac:dyDescent="0.25">
      <c r="A57" s="30">
        <v>500</v>
      </c>
      <c r="B57" s="34" t="s">
        <v>375</v>
      </c>
      <c r="C57" s="31">
        <v>530</v>
      </c>
      <c r="D57" s="24" t="str">
        <f>IF(C57&lt;=0,"",VLOOKUP(C57,[12]FF!A:D,2,0))</f>
        <v>PARTICIPACIONES Ramo 28</v>
      </c>
      <c r="E57" s="31" t="s">
        <v>376</v>
      </c>
      <c r="F57" s="32" t="s">
        <v>15</v>
      </c>
      <c r="G57" s="28">
        <v>218004</v>
      </c>
      <c r="H57" s="25" t="str">
        <f>IF(G57&lt;=0,"",VLOOKUP(G57,[12]COG!A:H,2,0))</f>
        <v>Emisión de Formatos Únicos de Control Vehicular</v>
      </c>
      <c r="I57" s="26">
        <v>108165.75</v>
      </c>
      <c r="J57" s="26">
        <v>140461.95000000001</v>
      </c>
      <c r="K57" s="26">
        <v>119493.83</v>
      </c>
      <c r="L57" s="26">
        <v>121441.08</v>
      </c>
      <c r="M57" s="27">
        <f>SUM(Tabla17[[#This Row],[TRIMESTRE  I]:[TRIMESTRE IV]])</f>
        <v>489562.61000000004</v>
      </c>
      <c r="N57" s="33"/>
      <c r="O57" s="33"/>
      <c r="P57" s="28"/>
    </row>
    <row r="58" spans="1:16" ht="25.5" x14ac:dyDescent="0.25">
      <c r="A58" s="30">
        <v>500</v>
      </c>
      <c r="B58" s="34" t="s">
        <v>375</v>
      </c>
      <c r="C58" s="31">
        <v>530</v>
      </c>
      <c r="D58" s="24" t="str">
        <f>IF(C58&lt;=0,"",VLOOKUP(C58,[12]FF!A:D,2,0))</f>
        <v>PARTICIPACIONES Ramo 28</v>
      </c>
      <c r="E58" s="31" t="s">
        <v>376</v>
      </c>
      <c r="F58" s="32" t="s">
        <v>15</v>
      </c>
      <c r="G58" s="28">
        <v>261000</v>
      </c>
      <c r="H58" s="25" t="str">
        <f>IF(G58&lt;=0,"",VLOOKUP(G58,[12]COG!A:H,2,0))</f>
        <v>Combustibles, lubricantes y aditivos</v>
      </c>
      <c r="I58" s="26">
        <v>340000</v>
      </c>
      <c r="J58" s="26">
        <v>340000</v>
      </c>
      <c r="K58" s="26">
        <v>340000</v>
      </c>
      <c r="L58" s="26">
        <v>340000</v>
      </c>
      <c r="M58" s="27">
        <f>SUM(Tabla17[[#This Row],[TRIMESTRE  I]:[TRIMESTRE IV]])</f>
        <v>1360000</v>
      </c>
      <c r="N58" s="33"/>
      <c r="O58" s="33"/>
      <c r="P58" s="28"/>
    </row>
    <row r="59" spans="1:16" ht="25.5" x14ac:dyDescent="0.25">
      <c r="A59" s="30">
        <v>500</v>
      </c>
      <c r="B59" s="34" t="s">
        <v>375</v>
      </c>
      <c r="C59" s="31">
        <v>530</v>
      </c>
      <c r="D59" s="24" t="str">
        <f>IF(C59&lt;=0,"",VLOOKUP(C59,[12]FF!A:D,2,0))</f>
        <v>PARTICIPACIONES Ramo 28</v>
      </c>
      <c r="E59" s="31" t="s">
        <v>376</v>
      </c>
      <c r="F59" s="32" t="s">
        <v>22</v>
      </c>
      <c r="G59" s="28">
        <v>323000</v>
      </c>
      <c r="H59" s="25" t="str">
        <f>IF(G59&lt;=0,"",VLOOKUP(G59,[12]COG!A:H,2,0))</f>
        <v>Arrendamiento de mobiliario y equipo de administración, educacional y recreativo</v>
      </c>
      <c r="I59" s="26">
        <v>560523.6</v>
      </c>
      <c r="J59" s="26">
        <v>560523.6</v>
      </c>
      <c r="K59" s="26">
        <v>560523.6</v>
      </c>
      <c r="L59" s="26">
        <v>560523.6</v>
      </c>
      <c r="M59" s="27">
        <f>SUM(Tabla17[[#This Row],[TRIMESTRE  I]:[TRIMESTRE IV]])</f>
        <v>2242094.4</v>
      </c>
      <c r="N59" s="33"/>
      <c r="O59" s="33"/>
      <c r="P59" s="28"/>
    </row>
    <row r="60" spans="1:16" ht="25.5" x14ac:dyDescent="0.25">
      <c r="A60" s="30">
        <v>500</v>
      </c>
      <c r="B60" s="34" t="s">
        <v>375</v>
      </c>
      <c r="C60" s="31">
        <v>530</v>
      </c>
      <c r="D60" s="24" t="str">
        <f>IF(C60&lt;=0,"",VLOOKUP(C60,[12]FF!A:D,2,0))</f>
        <v>PARTICIPACIONES Ramo 28</v>
      </c>
      <c r="E60" s="31" t="s">
        <v>376</v>
      </c>
      <c r="F60" s="32" t="s">
        <v>22</v>
      </c>
      <c r="G60" s="28">
        <v>343000</v>
      </c>
      <c r="H60" s="25" t="str">
        <f>IF(G60&lt;=0,"",VLOOKUP(G60,[12]COG!A:H,2,0))</f>
        <v>Servicios de recaudación, traslado y custodia de valores</v>
      </c>
      <c r="I60" s="26">
        <v>1200000</v>
      </c>
      <c r="J60" s="26">
        <v>1200000</v>
      </c>
      <c r="K60" s="26">
        <v>1200000</v>
      </c>
      <c r="L60" s="26">
        <v>1200000</v>
      </c>
      <c r="M60" s="27">
        <f>SUM(Tabla17[[#This Row],[TRIMESTRE  I]:[TRIMESTRE IV]])</f>
        <v>4800000</v>
      </c>
      <c r="N60" s="33"/>
      <c r="O60" s="33"/>
      <c r="P60" s="28"/>
    </row>
    <row r="61" spans="1:16" ht="25.5" x14ac:dyDescent="0.25">
      <c r="A61" s="30">
        <v>500</v>
      </c>
      <c r="B61" s="34" t="s">
        <v>375</v>
      </c>
      <c r="C61" s="31">
        <v>530</v>
      </c>
      <c r="D61" s="24" t="str">
        <f>IF(C61&lt;=0,"",VLOOKUP(C61,[12]FF!A:D,2,0))</f>
        <v>PARTICIPACIONES Ramo 28</v>
      </c>
      <c r="E61" s="31" t="s">
        <v>376</v>
      </c>
      <c r="F61" s="32" t="s">
        <v>22</v>
      </c>
      <c r="G61" s="28">
        <v>350000</v>
      </c>
      <c r="H61" s="25" t="str">
        <f>IF(G61&lt;=0,"",VLOOKUP(G61,[12]COG!A:H,2,0))</f>
        <v>SERVICIOS DE INSTALACIÓN, REPARACIÓN, MANTENIMIENTO Y CONSERVACIÓN</v>
      </c>
      <c r="I61" s="26">
        <v>20000</v>
      </c>
      <c r="J61" s="26">
        <v>20000</v>
      </c>
      <c r="K61" s="26">
        <v>20000</v>
      </c>
      <c r="L61" s="26">
        <v>20000</v>
      </c>
      <c r="M61" s="27">
        <f>SUM(Tabla17[[#This Row],[TRIMESTRE  I]:[TRIMESTRE IV]])</f>
        <v>80000</v>
      </c>
      <c r="N61" s="33"/>
      <c r="O61" s="33"/>
      <c r="P61" s="28"/>
    </row>
    <row r="62" spans="1:16" ht="25.5" x14ac:dyDescent="0.25">
      <c r="A62" s="30">
        <v>500</v>
      </c>
      <c r="B62" s="34" t="s">
        <v>375</v>
      </c>
      <c r="C62" s="31">
        <v>530</v>
      </c>
      <c r="D62" s="24" t="str">
        <f>IF(C62&lt;=0,"",VLOOKUP(C62,[12]FF!A:D,2,0))</f>
        <v>PARTICIPACIONES Ramo 28</v>
      </c>
      <c r="E62" s="31" t="s">
        <v>376</v>
      </c>
      <c r="F62" s="32" t="s">
        <v>22</v>
      </c>
      <c r="G62" s="28">
        <v>358002</v>
      </c>
      <c r="H62" s="25" t="str">
        <f>IF(G62&lt;=0,"",VLOOKUP(G62,[12]COG!A:H,2,0))</f>
        <v>Servicios de Limpieza y Lavado de Vehículos</v>
      </c>
      <c r="I62" s="26">
        <v>45000</v>
      </c>
      <c r="J62" s="26">
        <v>45000</v>
      </c>
      <c r="K62" s="26">
        <v>45000</v>
      </c>
      <c r="L62" s="26">
        <v>45000</v>
      </c>
      <c r="M62" s="27">
        <f>SUM(Tabla17[[#This Row],[TRIMESTRE  I]:[TRIMESTRE IV]])</f>
        <v>180000</v>
      </c>
      <c r="N62" s="33"/>
      <c r="O62" s="33"/>
      <c r="P62" s="28"/>
    </row>
    <row r="63" spans="1:16" ht="25.5" x14ac:dyDescent="0.25">
      <c r="A63" s="30">
        <v>500</v>
      </c>
      <c r="B63" s="34" t="s">
        <v>375</v>
      </c>
      <c r="C63" s="31">
        <v>530</v>
      </c>
      <c r="D63" s="24" t="str">
        <f>IF(C63&lt;=0,"",VLOOKUP(C63,[12]FF!A:D,2,0))</f>
        <v>PARTICIPACIONES Ramo 28</v>
      </c>
      <c r="E63" s="31" t="s">
        <v>376</v>
      </c>
      <c r="F63" s="32" t="s">
        <v>22</v>
      </c>
      <c r="G63" s="28">
        <v>361001</v>
      </c>
      <c r="H63" s="25" t="str">
        <f>IF(G63&lt;=0,"",VLOOKUP(G63,[12]COG!A:H,2,0))</f>
        <v>Gastos de difusión</v>
      </c>
      <c r="I63" s="26">
        <v>35000</v>
      </c>
      <c r="J63" s="26"/>
      <c r="K63" s="26">
        <v>35000</v>
      </c>
      <c r="L63" s="26"/>
      <c r="M63" s="27">
        <f>SUM(Tabla17[[#This Row],[TRIMESTRE  I]:[TRIMESTRE IV]])</f>
        <v>70000</v>
      </c>
      <c r="N63" s="33"/>
      <c r="O63" s="33"/>
      <c r="P63" s="28"/>
    </row>
    <row r="64" spans="1:16" ht="25.5" x14ac:dyDescent="0.25">
      <c r="A64" s="30">
        <v>500</v>
      </c>
      <c r="B64" s="34" t="s">
        <v>375</v>
      </c>
      <c r="C64" s="31">
        <v>530</v>
      </c>
      <c r="D64" s="24" t="str">
        <f>IF(C64&lt;=0,"",VLOOKUP(C64,[12]FF!A:D,2,0))</f>
        <v>PARTICIPACIONES Ramo 28</v>
      </c>
      <c r="E64" s="31" t="s">
        <v>376</v>
      </c>
      <c r="F64" s="32" t="s">
        <v>22</v>
      </c>
      <c r="G64" s="28">
        <v>361002</v>
      </c>
      <c r="H64" s="25" t="str">
        <f>IF(G64&lt;=0,"",VLOOKUP(G64,[12]COG!A:H,2,0))</f>
        <v>Impresiones y publicaciones oficiales</v>
      </c>
      <c r="I64" s="26">
        <v>26000</v>
      </c>
      <c r="J64" s="26"/>
      <c r="K64" s="26">
        <v>26000</v>
      </c>
      <c r="L64" s="26"/>
      <c r="M64" s="27">
        <f>SUM(Tabla17[[#This Row],[TRIMESTRE  I]:[TRIMESTRE IV]])</f>
        <v>52000</v>
      </c>
      <c r="N64" s="33"/>
      <c r="O64" s="33"/>
      <c r="P64" s="28"/>
    </row>
    <row r="65" spans="1:16" ht="25.5" x14ac:dyDescent="0.25">
      <c r="A65" s="30">
        <v>500</v>
      </c>
      <c r="B65" s="34" t="s">
        <v>375</v>
      </c>
      <c r="C65" s="31">
        <v>530</v>
      </c>
      <c r="D65" s="24" t="str">
        <f>IF(C65&lt;=0,"",VLOOKUP(C65,[12]FF!A:D,2,0))</f>
        <v>PARTICIPACIONES Ramo 28</v>
      </c>
      <c r="E65" s="31" t="s">
        <v>376</v>
      </c>
      <c r="F65" s="32" t="s">
        <v>22</v>
      </c>
      <c r="G65" s="28">
        <v>338001</v>
      </c>
      <c r="H65" s="25" t="str">
        <f>IF(G65&lt;=0,"",VLOOKUP(G65,[12]COG!A:H,2,0))</f>
        <v>Servicio de seguridad privada</v>
      </c>
      <c r="I65" s="26">
        <v>514108</v>
      </c>
      <c r="J65" s="26">
        <v>514108</v>
      </c>
      <c r="K65" s="26">
        <v>514108</v>
      </c>
      <c r="L65" s="26">
        <v>514108</v>
      </c>
      <c r="M65" s="27">
        <f>SUM(Tabla17[[#This Row],[TRIMESTRE  I]:[TRIMESTRE IV]])</f>
        <v>2056432</v>
      </c>
      <c r="N65" s="33"/>
      <c r="O65" s="33"/>
      <c r="P65" s="28"/>
    </row>
    <row r="66" spans="1:16" ht="25.5" x14ac:dyDescent="0.25">
      <c r="A66" s="30">
        <v>500</v>
      </c>
      <c r="B66" s="34" t="s">
        <v>375</v>
      </c>
      <c r="C66" s="31">
        <v>530</v>
      </c>
      <c r="D66" s="24" t="str">
        <f>IF(C66&lt;=0,"",VLOOKUP(C66,[12]FF!A:D,2,0))</f>
        <v>PARTICIPACIONES Ramo 28</v>
      </c>
      <c r="E66" s="31" t="s">
        <v>376</v>
      </c>
      <c r="F66" s="32" t="s">
        <v>22</v>
      </c>
      <c r="G66" s="28">
        <v>334001</v>
      </c>
      <c r="H66" s="25" t="str">
        <f>IF(G66&lt;=0,"",VLOOKUP(G66,[12]COG!A:H,2,0))</f>
        <v>Cuotas e inscripciones</v>
      </c>
      <c r="I66" s="26">
        <v>30000</v>
      </c>
      <c r="J66" s="26">
        <v>30000</v>
      </c>
      <c r="K66" s="26">
        <v>30000</v>
      </c>
      <c r="L66" s="26">
        <v>30000</v>
      </c>
      <c r="M66" s="27">
        <f>SUM(Tabla17[[#This Row],[TRIMESTRE  I]:[TRIMESTRE IV]])</f>
        <v>120000</v>
      </c>
      <c r="N66" s="33"/>
      <c r="O66" s="33"/>
      <c r="P66" s="28"/>
    </row>
    <row r="67" spans="1:16" ht="25.5" x14ac:dyDescent="0.25">
      <c r="A67" s="30">
        <v>500</v>
      </c>
      <c r="B67" s="34" t="s">
        <v>375</v>
      </c>
      <c r="C67" s="31">
        <v>530</v>
      </c>
      <c r="D67" s="24" t="str">
        <f>IF(C67&lt;=0,"",VLOOKUP(C67,[12]FF!A:D,2,0))</f>
        <v>PARTICIPACIONES Ramo 28</v>
      </c>
      <c r="E67" s="31" t="s">
        <v>376</v>
      </c>
      <c r="F67" s="32" t="s">
        <v>22</v>
      </c>
      <c r="G67" s="28">
        <v>316000</v>
      </c>
      <c r="H67" s="25" t="str">
        <f>IF(G67&lt;=0,"",VLOOKUP(G67,[12]COG!A:H,2,0))</f>
        <v>Servicios de telecomunicaciones y satélites</v>
      </c>
      <c r="I67" s="26">
        <v>3000000</v>
      </c>
      <c r="J67" s="26"/>
      <c r="K67" s="26"/>
      <c r="L67" s="26"/>
      <c r="M67" s="27">
        <f>SUM(Tabla17[[#This Row],[TRIMESTRE  I]:[TRIMESTRE IV]])</f>
        <v>3000000</v>
      </c>
      <c r="N67" s="33"/>
      <c r="O67" s="33"/>
      <c r="P67" s="28"/>
    </row>
    <row r="68" spans="1:16" ht="25.5" x14ac:dyDescent="0.25">
      <c r="A68" s="30">
        <v>500</v>
      </c>
      <c r="B68" s="34" t="s">
        <v>375</v>
      </c>
      <c r="C68" s="31">
        <v>530</v>
      </c>
      <c r="D68" s="24" t="str">
        <f>IF(C68&lt;=0,"",VLOOKUP(C68,[12]FF!A:D,2,0))</f>
        <v>PARTICIPACIONES Ramo 28</v>
      </c>
      <c r="E68" s="31" t="s">
        <v>376</v>
      </c>
      <c r="F68" s="32" t="s">
        <v>22</v>
      </c>
      <c r="G68" s="28">
        <v>383000</v>
      </c>
      <c r="H68" s="25" t="str">
        <f>IF(G68&lt;=0,"",VLOOKUP(G68,[12]COG!A:H,2,0))</f>
        <v>Congresos y convenciones</v>
      </c>
      <c r="I68" s="26"/>
      <c r="J68" s="26">
        <v>220000</v>
      </c>
      <c r="K68" s="26"/>
      <c r="L68" s="26">
        <v>300000</v>
      </c>
      <c r="M68" s="27">
        <f>SUM(Tabla17[[#This Row],[TRIMESTRE  I]:[TRIMESTRE IV]])</f>
        <v>520000</v>
      </c>
      <c r="N68" s="33"/>
      <c r="O68" s="33"/>
      <c r="P68" s="28"/>
    </row>
    <row r="69" spans="1:16" ht="25.5" x14ac:dyDescent="0.25">
      <c r="A69" s="30">
        <v>500</v>
      </c>
      <c r="B69" s="34" t="s">
        <v>375</v>
      </c>
      <c r="C69" s="31">
        <v>530</v>
      </c>
      <c r="D69" s="24" t="str">
        <f>IF(C69&lt;=0,"",VLOOKUP(C69,[12]FF!A:D,2,0))</f>
        <v>PARTICIPACIONES Ramo 28</v>
      </c>
      <c r="E69" s="31" t="s">
        <v>376</v>
      </c>
      <c r="F69" s="32" t="s">
        <v>15</v>
      </c>
      <c r="G69" s="28">
        <v>294000</v>
      </c>
      <c r="H69" s="25" t="str">
        <f>IF(G69&lt;=0,"",VLOOKUP(G69,[12]COG!A:H,2,0))</f>
        <v>Refacciones y accesorios menores de equipo de cómputo y tecnologías de la información</v>
      </c>
      <c r="I69" s="26">
        <v>22000</v>
      </c>
      <c r="J69" s="10" t="s">
        <v>377</v>
      </c>
      <c r="K69" s="26">
        <v>22000</v>
      </c>
      <c r="L69" s="26">
        <v>22000</v>
      </c>
      <c r="M69" s="27">
        <f>SUM(Tabla17[[#This Row],[TRIMESTRE  I]:[TRIMESTRE IV]])</f>
        <v>66000</v>
      </c>
      <c r="N69" s="33"/>
      <c r="O69" s="33"/>
      <c r="P69" s="28"/>
    </row>
    <row r="70" spans="1:16" ht="25.5" x14ac:dyDescent="0.25">
      <c r="A70" s="30">
        <v>500</v>
      </c>
      <c r="B70" s="34" t="s">
        <v>375</v>
      </c>
      <c r="C70" s="31">
        <v>530</v>
      </c>
      <c r="D70" s="24" t="str">
        <f>IF(C70&lt;=0,"",VLOOKUP(C70,[12]FF!A:D,2,0))</f>
        <v>PARTICIPACIONES Ramo 28</v>
      </c>
      <c r="E70" s="31" t="s">
        <v>376</v>
      </c>
      <c r="F70" s="32" t="s">
        <v>15</v>
      </c>
      <c r="G70" s="28">
        <v>290000</v>
      </c>
      <c r="H70" s="25" t="str">
        <f>IF(G70&lt;=0,"",VLOOKUP(G70,[12]COG!A:H,2,0))</f>
        <v>HERRAMIENTAS, REFACCIONES Y ACCESORIOS MENORES</v>
      </c>
      <c r="I70" s="26">
        <v>30000</v>
      </c>
      <c r="J70" s="26">
        <v>30000</v>
      </c>
      <c r="K70" s="26">
        <v>30000</v>
      </c>
      <c r="L70" s="26">
        <v>30000</v>
      </c>
      <c r="M70" s="27">
        <f>SUM(Tabla17[[#This Row],[TRIMESTRE  I]:[TRIMESTRE IV]])</f>
        <v>120000</v>
      </c>
      <c r="N70" s="33"/>
      <c r="O70" s="33"/>
      <c r="P70" s="28"/>
    </row>
    <row r="71" spans="1:16" ht="25.5" x14ac:dyDescent="0.25">
      <c r="A71" s="30">
        <v>500</v>
      </c>
      <c r="B71" s="34" t="s">
        <v>375</v>
      </c>
      <c r="C71" s="31">
        <v>530</v>
      </c>
      <c r="D71" s="24" t="str">
        <f>IF(C71&lt;=0,"",VLOOKUP(C71,[12]FF!A:D,2,0))</f>
        <v>PARTICIPACIONES Ramo 28</v>
      </c>
      <c r="E71" s="31" t="s">
        <v>376</v>
      </c>
      <c r="F71" s="32" t="s">
        <v>22</v>
      </c>
      <c r="G71" s="28">
        <v>359000</v>
      </c>
      <c r="H71" s="25" t="str">
        <f>IF(G71&lt;=0,"",VLOOKUP(G71,[12]COG!A:H,2,0))</f>
        <v>Servicios de jardinería y fumigación</v>
      </c>
      <c r="I71" s="26">
        <v>220000</v>
      </c>
      <c r="J71" s="26">
        <v>220000</v>
      </c>
      <c r="K71" s="26">
        <v>220000</v>
      </c>
      <c r="L71" s="26">
        <v>220000</v>
      </c>
      <c r="M71" s="27">
        <f>SUM(Tabla17[[#This Row],[TRIMESTRE  I]:[TRIMESTRE IV]])</f>
        <v>880000</v>
      </c>
      <c r="N71" s="33"/>
      <c r="O71" s="33"/>
      <c r="P71" s="28"/>
    </row>
    <row r="72" spans="1:16" x14ac:dyDescent="0.25">
      <c r="A72" s="14"/>
      <c r="B72" s="14"/>
      <c r="C72" s="14"/>
      <c r="D72" s="15"/>
      <c r="E72" s="14"/>
      <c r="F72" s="14"/>
      <c r="G72" s="14"/>
      <c r="H72" s="16" t="s">
        <v>32</v>
      </c>
      <c r="I72" s="17"/>
      <c r="J72" s="17"/>
      <c r="K72" s="17"/>
      <c r="L72" s="17"/>
      <c r="M72" s="18">
        <f>SUBTOTAL(109,Tabla17[[PRESUPUESTO ANUAL AUTORIZADO ]])</f>
        <v>329815189</v>
      </c>
      <c r="N72" s="19"/>
      <c r="O72" s="19"/>
      <c r="P72" s="14"/>
    </row>
  </sheetData>
  <protectedRanges>
    <protectedRange algorithmName="SHA-512" hashValue="Lst7hsT/mUUQvFsOUalIdMZhSjExDj/C7u4r1gIjHREwBj16N7lqODQ0CY6n+RXalo774Zm4aYZKVBS0n4XIeg==" saltValue="KfnRR/cqfK967zBK52Zr6A==" spinCount="100000" sqref="A6:C72" name="EDITABLE 1_1"/>
    <protectedRange algorithmName="SHA-512" hashValue="pJNw8ysPJcfMEDlzTgza0siiHuU4FkUpIzbuTX325DFaYD5nL5ng0z0JoIGpE+CYch2hq/LccMqSM51MpHojPQ==" saltValue="xv9nj4u85CXs/Kmy5tmlKw==" spinCount="100000" sqref="E6:G72" name="EDITABLE 2_1"/>
    <protectedRange algorithmName="SHA-512" hashValue="ytsoXFfC1+WmXVaa1/e6XfcZ7vPjNmSnuZe33NqN4NcqbRxNJdzSGuklMRpskJNPYNNz1yZQe585JE4aSLisOg==" saltValue="/jSLFmNX0mB2vn2qhSJbtw==" spinCount="100000" sqref="I6:L72" name="EDITABLE 3_1"/>
    <protectedRange algorithmName="SHA-512" hashValue="CVDb5J/0TlFD03lqit9XaA7LbCMGvWLCsduA3v8dImZEGhWfzgZ6Dg6bkjbAbJm1bYAcMLcpovU/dJmuMze5jw==" saltValue="QZ4X9aU2cO4/tAPW6011Dw==" spinCount="100000" sqref="N6:P72" name="EDITABLE 4_1"/>
  </protectedRanges>
  <mergeCells count="3">
    <mergeCell ref="A2:M2"/>
    <mergeCell ref="A3:M3"/>
    <mergeCell ref="A4:M4"/>
  </mergeCells>
  <dataValidations count="2">
    <dataValidation type="list" allowBlank="1" showInputMessage="1" showErrorMessage="1" sqref="G6:G71" xr:uid="{EFF08352-5878-42AE-98D3-6EF880A87C3F}">
      <formula1>INDIRECT(F6)</formula1>
    </dataValidation>
    <dataValidation type="list" allowBlank="1" showInputMessage="1" showErrorMessage="1" sqref="F6:F71" xr:uid="{9A67A056-AE1B-4651-8036-024F1C7DDF6F}">
      <formula1>CAPITULOS</formula1>
    </dataValidation>
  </dataValidations>
  <pageMargins left="0.23622047244094491" right="0.23622047244094491" top="0.74803149606299213" bottom="0.74803149606299213" header="0.31496062992125984" footer="0.31496062992125984"/>
  <pageSetup paperSize="5" scale="65" fitToHeight="0" orientation="landscape" r:id="rId1"/>
  <rowBreaks count="1" manualBreakCount="1">
    <brk id="57" max="15" man="1"/>
  </rowBreaks>
  <drawing r:id="rId2"/>
  <tableParts count="1">
    <tablePart r:id="rId3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AAAED6-FC26-411E-AB42-6CA6ED997862}">
  <sheetPr>
    <tabColor rgb="FF00B050"/>
    <pageSetUpPr fitToPage="1"/>
  </sheetPr>
  <dimension ref="A1:AA148"/>
  <sheetViews>
    <sheetView view="pageBreakPreview" zoomScale="60" zoomScaleNormal="80" workbookViewId="0">
      <pane ySplit="4" topLeftCell="A134" activePane="bottomLeft" state="frozen"/>
      <selection activeCell="L24" sqref="L24"/>
      <selection pane="bottomLeft" activeCell="L24" sqref="L24"/>
    </sheetView>
  </sheetViews>
  <sheetFormatPr baseColWidth="10" defaultColWidth="11.42578125" defaultRowHeight="37.5" customHeight="1" x14ac:dyDescent="0.2"/>
  <cols>
    <col min="1" max="1" width="10.28515625" style="1" customWidth="1"/>
    <col min="2" max="2" width="17.5703125" style="1" customWidth="1"/>
    <col min="3" max="3" width="18.140625" style="1" customWidth="1"/>
    <col min="4" max="4" width="17.42578125" style="1" customWidth="1"/>
    <col min="5" max="5" width="14.7109375" style="1" customWidth="1"/>
    <col min="6" max="6" width="11.140625" style="1" customWidth="1"/>
    <col min="7" max="7" width="13" style="1" customWidth="1"/>
    <col min="8" max="8" width="32.140625" style="1" customWidth="1"/>
    <col min="9" max="12" width="11.140625" style="1" customWidth="1"/>
    <col min="13" max="13" width="19" style="1" customWidth="1"/>
    <col min="14" max="15" width="21.7109375" style="1" customWidth="1"/>
    <col min="16" max="16" width="18.5703125" style="1" customWidth="1"/>
    <col min="17" max="27" width="11.42578125" style="85"/>
    <col min="28" max="16384" width="11.42578125" style="1"/>
  </cols>
  <sheetData>
    <row r="1" spans="1:16" ht="22.5" customHeight="1" x14ac:dyDescent="0.2">
      <c r="A1" s="115" t="s">
        <v>24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</row>
    <row r="2" spans="1:16" ht="18.75" customHeight="1" x14ac:dyDescent="0.2">
      <c r="A2" s="116" t="s">
        <v>358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</row>
    <row r="3" spans="1:16" ht="32.25" customHeight="1" x14ac:dyDescent="0.2">
      <c r="A3" s="117" t="s">
        <v>25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</row>
    <row r="4" spans="1:16" s="2" customFormat="1" ht="48" customHeight="1" x14ac:dyDescent="0.2">
      <c r="A4" s="72" t="s">
        <v>0</v>
      </c>
      <c r="B4" s="72" t="s">
        <v>1</v>
      </c>
      <c r="C4" s="72" t="s">
        <v>2</v>
      </c>
      <c r="D4" s="72" t="s">
        <v>3</v>
      </c>
      <c r="E4" s="72" t="s">
        <v>4</v>
      </c>
      <c r="F4" s="72" t="s">
        <v>5</v>
      </c>
      <c r="G4" s="72" t="s">
        <v>6</v>
      </c>
      <c r="H4" s="72" t="s">
        <v>7</v>
      </c>
      <c r="I4" s="72" t="s">
        <v>26</v>
      </c>
      <c r="J4" s="72" t="s">
        <v>8</v>
      </c>
      <c r="K4" s="72" t="s">
        <v>9</v>
      </c>
      <c r="L4" s="72" t="s">
        <v>10</v>
      </c>
      <c r="M4" s="72" t="s">
        <v>27</v>
      </c>
      <c r="N4" s="72" t="s">
        <v>11</v>
      </c>
      <c r="O4" s="72" t="s">
        <v>12</v>
      </c>
      <c r="P4" s="72" t="s">
        <v>13</v>
      </c>
    </row>
    <row r="5" spans="1:16" ht="37.5" customHeight="1" x14ac:dyDescent="0.2">
      <c r="A5" s="3">
        <v>1300000</v>
      </c>
      <c r="B5" s="86" t="s">
        <v>359</v>
      </c>
      <c r="C5" s="5">
        <v>530</v>
      </c>
      <c r="D5" s="6" t="str">
        <f>IF(C5&lt;=0,"",VLOOKUP(C5,[7]FF!A:D,2,0))</f>
        <v>PARTICIPACIONES Ramo 28</v>
      </c>
      <c r="E5" s="5" t="s">
        <v>360</v>
      </c>
      <c r="F5" s="7" t="s">
        <v>15</v>
      </c>
      <c r="G5" s="8">
        <v>211001</v>
      </c>
      <c r="H5" s="9" t="str">
        <f>IF(G5&lt;=0,"",VLOOKUP(G5,[7]COG!A:H,2,0))</f>
        <v>Material de oficina</v>
      </c>
      <c r="I5" s="10">
        <v>0</v>
      </c>
      <c r="J5" s="10">
        <f>0</f>
        <v>0</v>
      </c>
      <c r="K5" s="10">
        <f>10080.52</f>
        <v>10080.52</v>
      </c>
      <c r="L5" s="10"/>
      <c r="M5" s="11">
        <f>SUM(Tabla13455[[#This Row],[TRIMESTRE  I]:[TRIMESTRE IV]])</f>
        <v>10080.52</v>
      </c>
      <c r="N5" s="12" t="s">
        <v>17</v>
      </c>
      <c r="O5" s="13" t="s">
        <v>314</v>
      </c>
      <c r="P5" s="8" t="s">
        <v>61</v>
      </c>
    </row>
    <row r="6" spans="1:16" ht="37.5" customHeight="1" x14ac:dyDescent="0.2">
      <c r="A6" s="3">
        <v>1300000</v>
      </c>
      <c r="B6" s="86" t="s">
        <v>359</v>
      </c>
      <c r="C6" s="5">
        <v>530</v>
      </c>
      <c r="D6" s="6" t="s">
        <v>14</v>
      </c>
      <c r="E6" s="5" t="s">
        <v>360</v>
      </c>
      <c r="F6" s="7" t="s">
        <v>15</v>
      </c>
      <c r="G6" s="8">
        <v>211003</v>
      </c>
      <c r="H6" s="87" t="str">
        <f>IF(G6&lt;=0,"",VLOOKUP(G6,[7]COG!A:H,2,0))</f>
        <v>Articulos de Envoltura</v>
      </c>
      <c r="I6" s="10">
        <v>0</v>
      </c>
      <c r="J6" s="10">
        <v>310</v>
      </c>
      <c r="K6" s="10">
        <v>0</v>
      </c>
      <c r="L6" s="10">
        <v>0</v>
      </c>
      <c r="M6" s="11">
        <f>SUM(Tabla13455[[#This Row],[TRIMESTRE  I]:[TRIMESTRE IV]])</f>
        <v>310</v>
      </c>
      <c r="N6" s="12" t="s">
        <v>19</v>
      </c>
      <c r="O6" s="13"/>
      <c r="P6" s="8"/>
    </row>
    <row r="7" spans="1:16" ht="37.5" customHeight="1" x14ac:dyDescent="0.2">
      <c r="A7" s="3">
        <v>1300000</v>
      </c>
      <c r="B7" s="86" t="s">
        <v>359</v>
      </c>
      <c r="C7" s="5">
        <v>530</v>
      </c>
      <c r="D7" s="6" t="str">
        <f>IF(C7&lt;=0,"",VLOOKUP(C7,[7]FF!A:D,2,0))</f>
        <v>PARTICIPACIONES Ramo 28</v>
      </c>
      <c r="E7" s="5" t="s">
        <v>360</v>
      </c>
      <c r="F7" s="7" t="s">
        <v>15</v>
      </c>
      <c r="G7" s="8">
        <v>212001</v>
      </c>
      <c r="H7" s="9" t="str">
        <f>IF(G7&lt;=0,"",VLOOKUP(G7,[7]COG!A:H,2,0))</f>
        <v>Material y útiles de impresión</v>
      </c>
      <c r="I7" s="10">
        <v>0</v>
      </c>
      <c r="J7" s="10">
        <v>0</v>
      </c>
      <c r="K7" s="10">
        <v>0</v>
      </c>
      <c r="L7" s="10"/>
      <c r="M7" s="11">
        <f>SUM(Tabla13455[[#This Row],[TRIMESTRE  I]:[TRIMESTRE IV]])</f>
        <v>0</v>
      </c>
      <c r="N7" s="12" t="s">
        <v>19</v>
      </c>
      <c r="O7" s="13">
        <v>45690</v>
      </c>
      <c r="P7" s="8" t="s">
        <v>361</v>
      </c>
    </row>
    <row r="8" spans="1:16" ht="37.5" customHeight="1" x14ac:dyDescent="0.2">
      <c r="A8" s="3">
        <v>1300000</v>
      </c>
      <c r="B8" s="86" t="s">
        <v>359</v>
      </c>
      <c r="C8" s="5">
        <v>530</v>
      </c>
      <c r="D8" s="6" t="str">
        <f>IF(C8&lt;=0,"",VLOOKUP(C8,[7]FF!A:D,2,0))</f>
        <v>PARTICIPACIONES Ramo 28</v>
      </c>
      <c r="E8" s="5" t="s">
        <v>360</v>
      </c>
      <c r="F8" s="7" t="s">
        <v>15</v>
      </c>
      <c r="G8" s="8">
        <v>214001</v>
      </c>
      <c r="H8" s="9" t="str">
        <f>IF(G8&lt;=0,"",VLOOKUP(G8,[7]COG!A:H,2,0))</f>
        <v>Materiales, útiles y equipos menores de tecnologías de la información y comunicaciones</v>
      </c>
      <c r="I8" s="10">
        <v>0</v>
      </c>
      <c r="J8" s="10">
        <v>0</v>
      </c>
      <c r="K8" s="10">
        <v>0</v>
      </c>
      <c r="L8" s="10"/>
      <c r="M8" s="11">
        <f>SUM(Tabla13455[[#This Row],[TRIMESTRE  I]:[TRIMESTRE IV]])</f>
        <v>0</v>
      </c>
      <c r="N8" s="12" t="s">
        <v>19</v>
      </c>
      <c r="O8" s="13">
        <v>45690</v>
      </c>
      <c r="P8" s="8" t="s">
        <v>361</v>
      </c>
    </row>
    <row r="9" spans="1:16" ht="37.5" customHeight="1" x14ac:dyDescent="0.2">
      <c r="A9" s="3">
        <v>1300000</v>
      </c>
      <c r="B9" s="86" t="s">
        <v>359</v>
      </c>
      <c r="C9" s="5">
        <v>530</v>
      </c>
      <c r="D9" s="6" t="str">
        <f>IF(C9&lt;=0,"",VLOOKUP(C9,[7]FF!A:D,2,0))</f>
        <v>PARTICIPACIONES Ramo 28</v>
      </c>
      <c r="E9" s="5" t="s">
        <v>360</v>
      </c>
      <c r="F9" s="7" t="s">
        <v>15</v>
      </c>
      <c r="G9" s="8">
        <v>215001</v>
      </c>
      <c r="H9" s="9" t="str">
        <f>IF(G9&lt;=0,"",VLOOKUP(G9,[7]COG!A:H,2,0))</f>
        <v>Material didáctico</v>
      </c>
      <c r="I9" s="10">
        <v>0</v>
      </c>
      <c r="J9" s="10">
        <f>315</f>
        <v>315</v>
      </c>
      <c r="K9" s="10">
        <f>507.84</f>
        <v>507.84</v>
      </c>
      <c r="L9" s="10"/>
      <c r="M9" s="11">
        <f>SUM(Tabla13455[[#This Row],[TRIMESTRE  I]:[TRIMESTRE IV]])</f>
        <v>822.83999999999992</v>
      </c>
      <c r="N9" s="12" t="s">
        <v>19</v>
      </c>
      <c r="O9" s="13">
        <v>45690</v>
      </c>
      <c r="P9" s="8" t="s">
        <v>361</v>
      </c>
    </row>
    <row r="10" spans="1:16" ht="37.5" customHeight="1" x14ac:dyDescent="0.2">
      <c r="A10" s="3">
        <v>1300000</v>
      </c>
      <c r="B10" s="86" t="s">
        <v>359</v>
      </c>
      <c r="C10" s="5">
        <v>530</v>
      </c>
      <c r="D10" s="6" t="str">
        <f>IF(C10&lt;=0,"",VLOOKUP(C10,[7]FF!A:D,2,0))</f>
        <v>PARTICIPACIONES Ramo 28</v>
      </c>
      <c r="E10" s="5" t="s">
        <v>360</v>
      </c>
      <c r="F10" s="7" t="s">
        <v>15</v>
      </c>
      <c r="G10" s="8">
        <v>215002</v>
      </c>
      <c r="H10" s="9" t="str">
        <f>IF(G10&lt;=0,"",VLOOKUP(G10,[7]COG!A:H,2,0))</f>
        <v>Suscripciones a Periódicos, Revistas y Publicaciones Especializadas</v>
      </c>
      <c r="I10" s="10">
        <v>0</v>
      </c>
      <c r="J10" s="10"/>
      <c r="K10" s="10">
        <v>0</v>
      </c>
      <c r="L10" s="10"/>
      <c r="M10" s="11">
        <f>SUM(Tabla13455[[#This Row],[TRIMESTRE  I]:[TRIMESTRE IV]])</f>
        <v>0</v>
      </c>
      <c r="N10" s="12" t="s">
        <v>19</v>
      </c>
      <c r="O10" s="13">
        <v>45690</v>
      </c>
      <c r="P10" s="8" t="s">
        <v>361</v>
      </c>
    </row>
    <row r="11" spans="1:16" ht="37.5" customHeight="1" x14ac:dyDescent="0.2">
      <c r="A11" s="3">
        <v>1300000</v>
      </c>
      <c r="B11" s="86" t="s">
        <v>359</v>
      </c>
      <c r="C11" s="5">
        <v>530</v>
      </c>
      <c r="D11" s="6" t="str">
        <f>IF(C11&lt;=0,"",VLOOKUP(C11,[7]FF!A:D,2,0))</f>
        <v>PARTICIPACIONES Ramo 28</v>
      </c>
      <c r="E11" s="5" t="s">
        <v>360</v>
      </c>
      <c r="F11" s="7" t="s">
        <v>15</v>
      </c>
      <c r="G11" s="8">
        <v>215003</v>
      </c>
      <c r="H11" s="9" t="str">
        <f>IF(G11&lt;=0,"",VLOOKUP(G11,[7]COG!A:H,2,0))</f>
        <v>Material impreso e información digital</v>
      </c>
      <c r="I11" s="10">
        <v>0</v>
      </c>
      <c r="J11" s="10"/>
      <c r="K11" s="10">
        <v>0</v>
      </c>
      <c r="L11" s="10"/>
      <c r="M11" s="11">
        <f>SUM(Tabla13455[[#This Row],[TRIMESTRE  I]:[TRIMESTRE IV]])</f>
        <v>0</v>
      </c>
      <c r="N11" s="12" t="s">
        <v>19</v>
      </c>
      <c r="O11" s="13">
        <v>45690</v>
      </c>
      <c r="P11" s="8" t="s">
        <v>361</v>
      </c>
    </row>
    <row r="12" spans="1:16" ht="37.5" customHeight="1" x14ac:dyDescent="0.2">
      <c r="A12" s="3">
        <v>1300000</v>
      </c>
      <c r="B12" s="86" t="s">
        <v>359</v>
      </c>
      <c r="C12" s="5">
        <v>530</v>
      </c>
      <c r="D12" s="6" t="str">
        <f>IF(C12&lt;=0,"",VLOOKUP(C12,[7]FF!A:D,2,0))</f>
        <v>PARTICIPACIONES Ramo 28</v>
      </c>
      <c r="E12" s="5" t="s">
        <v>360</v>
      </c>
      <c r="F12" s="7" t="s">
        <v>15</v>
      </c>
      <c r="G12" s="8">
        <v>216001</v>
      </c>
      <c r="H12" s="9" t="str">
        <f>IF(G12&lt;=0,"",VLOOKUP(G12,[7]COG!A:H,2,0))</f>
        <v>Material de limpieza</v>
      </c>
      <c r="I12" s="10">
        <v>0</v>
      </c>
      <c r="J12" s="10">
        <f>6363.99</f>
        <v>6363.99</v>
      </c>
      <c r="K12" s="10">
        <f>7268.79+1415.2+2245.06</f>
        <v>10929.05</v>
      </c>
      <c r="L12" s="88"/>
      <c r="M12" s="11">
        <f>SUM(Tabla13455[[#This Row],[TRIMESTRE  I]:[TRIMESTRE IV]])</f>
        <v>17293.04</v>
      </c>
      <c r="N12" s="12" t="s">
        <v>17</v>
      </c>
      <c r="O12" s="13" t="s">
        <v>314</v>
      </c>
      <c r="P12" s="8" t="s">
        <v>61</v>
      </c>
    </row>
    <row r="13" spans="1:16" ht="37.5" customHeight="1" x14ac:dyDescent="0.2">
      <c r="A13" s="3">
        <v>1300000</v>
      </c>
      <c r="B13" s="86" t="s">
        <v>359</v>
      </c>
      <c r="C13" s="5">
        <v>530</v>
      </c>
      <c r="D13" s="6" t="str">
        <f>IF(C13&lt;=0,"",VLOOKUP(C13,[7]FF!A:D,2,0))</f>
        <v>PARTICIPACIONES Ramo 28</v>
      </c>
      <c r="E13" s="5" t="s">
        <v>360</v>
      </c>
      <c r="F13" s="7" t="s">
        <v>15</v>
      </c>
      <c r="G13" s="8">
        <v>218002</v>
      </c>
      <c r="H13" s="89" t="str">
        <f>IF(G13&lt;=0,"",VLOOKUP(G13,[7]COG!A:H,2,0))</f>
        <v>Placas, Engomados, Calcomanías y Hologramas</v>
      </c>
      <c r="I13" s="10">
        <v>0</v>
      </c>
      <c r="J13" s="10">
        <v>0</v>
      </c>
      <c r="K13" s="10">
        <f>5786+1465+1465+1465</f>
        <v>10181</v>
      </c>
      <c r="L13" s="88"/>
      <c r="M13" s="11">
        <f>SUM(Tabla13455[[#This Row],[TRIMESTRE  I]:[TRIMESTRE IV]])</f>
        <v>10181</v>
      </c>
      <c r="N13" s="12" t="s">
        <v>17</v>
      </c>
      <c r="O13" s="13" t="s">
        <v>314</v>
      </c>
      <c r="P13" s="8" t="s">
        <v>61</v>
      </c>
    </row>
    <row r="14" spans="1:16" ht="37.5" customHeight="1" x14ac:dyDescent="0.2">
      <c r="A14" s="3">
        <v>1300000</v>
      </c>
      <c r="B14" s="86" t="s">
        <v>359</v>
      </c>
      <c r="C14" s="5">
        <v>530</v>
      </c>
      <c r="D14" s="6" t="str">
        <f>IF(C14&lt;=0,"",VLOOKUP(C14,[7]FF!A:D,2,0))</f>
        <v>PARTICIPACIONES Ramo 28</v>
      </c>
      <c r="E14" s="5" t="s">
        <v>360</v>
      </c>
      <c r="F14" s="7" t="s">
        <v>15</v>
      </c>
      <c r="G14" s="8">
        <v>221001</v>
      </c>
      <c r="H14" s="9" t="str">
        <f>IF(G14&lt;=0,"",VLOOKUP(G14,[7]COG!A:H,2,0))</f>
        <v>Alimentación de personas</v>
      </c>
      <c r="I14" s="10">
        <f>3917.43</f>
        <v>3917.43</v>
      </c>
      <c r="J14" s="10">
        <f>8736.01</f>
        <v>8736.01</v>
      </c>
      <c r="K14" s="10">
        <f>12691.51</f>
        <v>12691.51</v>
      </c>
      <c r="L14" s="10"/>
      <c r="M14" s="11">
        <f>SUM(Tabla13455[[#This Row],[TRIMESTRE  I]:[TRIMESTRE IV]])</f>
        <v>25344.95</v>
      </c>
      <c r="N14" s="12" t="s">
        <v>19</v>
      </c>
      <c r="O14" s="13">
        <v>45690</v>
      </c>
      <c r="P14" s="8" t="s">
        <v>361</v>
      </c>
    </row>
    <row r="15" spans="1:16" ht="37.5" customHeight="1" x14ac:dyDescent="0.2">
      <c r="A15" s="3">
        <v>1300000</v>
      </c>
      <c r="B15" s="86" t="s">
        <v>359</v>
      </c>
      <c r="C15" s="5">
        <v>530</v>
      </c>
      <c r="D15" s="6" t="str">
        <f>IF(C15&lt;=0,"",VLOOKUP(C15,[7]FF!A:D,2,0))</f>
        <v>PARTICIPACIONES Ramo 28</v>
      </c>
      <c r="E15" s="5" t="s">
        <v>360</v>
      </c>
      <c r="F15" s="7" t="s">
        <v>15</v>
      </c>
      <c r="G15" s="8">
        <v>223001</v>
      </c>
      <c r="H15" s="9" t="str">
        <f>IF(G15&lt;=0,"",VLOOKUP(G15,[7]COG!A:H,2,0))</f>
        <v>Utensilios para el servicio de alimentación</v>
      </c>
      <c r="I15" s="10">
        <f>1422.85</f>
        <v>1422.85</v>
      </c>
      <c r="J15" s="10">
        <v>75</v>
      </c>
      <c r="K15" s="10">
        <f>1096.01</f>
        <v>1096.01</v>
      </c>
      <c r="L15" s="10"/>
      <c r="M15" s="11">
        <f>SUM(Tabla13455[[#This Row],[TRIMESTRE  I]:[TRIMESTRE IV]])</f>
        <v>2593.8599999999997</v>
      </c>
      <c r="N15" s="12" t="s">
        <v>19</v>
      </c>
      <c r="O15" s="13" t="s">
        <v>314</v>
      </c>
      <c r="P15" s="8" t="s">
        <v>361</v>
      </c>
    </row>
    <row r="16" spans="1:16" ht="37.5" customHeight="1" x14ac:dyDescent="0.2">
      <c r="A16" s="3">
        <v>1300000</v>
      </c>
      <c r="B16" s="86" t="s">
        <v>359</v>
      </c>
      <c r="C16" s="5">
        <v>530</v>
      </c>
      <c r="D16" s="6" t="str">
        <f>IF(C16&lt;=0,"",VLOOKUP(C16,[7]FF!A:D,2,0))</f>
        <v>PARTICIPACIONES Ramo 28</v>
      </c>
      <c r="E16" s="5" t="s">
        <v>360</v>
      </c>
      <c r="F16" s="7" t="s">
        <v>15</v>
      </c>
      <c r="G16" s="8">
        <v>246001</v>
      </c>
      <c r="H16" s="9" t="str">
        <f>IF(G16&lt;=0,"",VLOOKUP(G16,[7]COG!A:H,2,0))</f>
        <v>Material eléctrico</v>
      </c>
      <c r="I16" s="10">
        <f>220</f>
        <v>220</v>
      </c>
      <c r="J16" s="10">
        <f>286.57</f>
        <v>286.57</v>
      </c>
      <c r="K16" s="10">
        <f>182.16</f>
        <v>182.16</v>
      </c>
      <c r="L16" s="10"/>
      <c r="M16" s="11">
        <f>SUM(Tabla13455[[#This Row],[TRIMESTRE  I]:[TRIMESTRE IV]])</f>
        <v>688.73</v>
      </c>
      <c r="N16" s="12" t="s">
        <v>19</v>
      </c>
      <c r="O16" s="13">
        <v>45690</v>
      </c>
      <c r="P16" s="8" t="s">
        <v>361</v>
      </c>
    </row>
    <row r="17" spans="1:16" ht="37.5" customHeight="1" x14ac:dyDescent="0.2">
      <c r="A17" s="3">
        <v>1300000</v>
      </c>
      <c r="B17" s="86" t="s">
        <v>359</v>
      </c>
      <c r="C17" s="5">
        <v>530</v>
      </c>
      <c r="D17" s="6" t="str">
        <f>IF(C17&lt;=0,"",VLOOKUP(C17,[7]FF!A:D,2,0))</f>
        <v>PARTICIPACIONES Ramo 28</v>
      </c>
      <c r="E17" s="5" t="s">
        <v>360</v>
      </c>
      <c r="F17" s="7" t="s">
        <v>15</v>
      </c>
      <c r="G17" s="8">
        <v>248001</v>
      </c>
      <c r="H17" s="89" t="str">
        <f>IF(G17&lt;=0,"",VLOOKUP(G17,[7]COG!A:H,2,0))</f>
        <v>Materiales complementarios</v>
      </c>
      <c r="I17" s="10">
        <v>0</v>
      </c>
      <c r="J17" s="10">
        <v>6507.21</v>
      </c>
      <c r="K17" s="10">
        <v>0</v>
      </c>
      <c r="L17" s="10">
        <v>0</v>
      </c>
      <c r="M17" s="11">
        <f>SUM(Tabla13455[[#This Row],[TRIMESTRE  I]:[TRIMESTRE IV]])</f>
        <v>6507.21</v>
      </c>
      <c r="N17" s="12"/>
      <c r="O17" s="13"/>
      <c r="P17" s="8"/>
    </row>
    <row r="18" spans="1:16" ht="37.5" customHeight="1" x14ac:dyDescent="0.2">
      <c r="A18" s="3">
        <v>1300000</v>
      </c>
      <c r="B18" s="86" t="s">
        <v>359</v>
      </c>
      <c r="C18" s="5">
        <v>530</v>
      </c>
      <c r="D18" s="6" t="str">
        <f>IF(C18&lt;=0,"",VLOOKUP(C18,[7]FF!A:D,2,0))</f>
        <v>PARTICIPACIONES Ramo 28</v>
      </c>
      <c r="E18" s="5" t="s">
        <v>360</v>
      </c>
      <c r="F18" s="7" t="s">
        <v>15</v>
      </c>
      <c r="G18" s="8">
        <v>249001</v>
      </c>
      <c r="H18" s="87" t="str">
        <f>IF(G18&lt;=0,"",VLOOKUP(G18,[7]COG!A:H,2,0))</f>
        <v>Materiales de construcción y complementarios</v>
      </c>
      <c r="I18" s="10">
        <v>0</v>
      </c>
      <c r="J18" s="10">
        <v>14809.1</v>
      </c>
      <c r="K18" s="10">
        <v>6569.11</v>
      </c>
      <c r="L18" s="10">
        <v>0</v>
      </c>
      <c r="M18" s="11">
        <f>SUM(Tabla13455[[#This Row],[TRIMESTRE  I]:[TRIMESTRE IV]])</f>
        <v>21378.21</v>
      </c>
      <c r="N18" s="12"/>
      <c r="O18" s="13"/>
      <c r="P18" s="8"/>
    </row>
    <row r="19" spans="1:16" ht="37.5" customHeight="1" x14ac:dyDescent="0.2">
      <c r="A19" s="3">
        <v>1300000</v>
      </c>
      <c r="B19" s="86" t="s">
        <v>359</v>
      </c>
      <c r="C19" s="5">
        <v>530</v>
      </c>
      <c r="D19" s="6" t="str">
        <f>IF(C19&lt;=0,"",VLOOKUP(C19,[7]FF!A:D,2,0))</f>
        <v>PARTICIPACIONES Ramo 28</v>
      </c>
      <c r="E19" s="5" t="s">
        <v>360</v>
      </c>
      <c r="F19" s="7" t="s">
        <v>15</v>
      </c>
      <c r="G19" s="8">
        <v>249002</v>
      </c>
      <c r="H19" s="9" t="str">
        <f>IF(G19&lt;=0,"",VLOOKUP(G19,[7]COG!A:H,2,0))</f>
        <v>Otros materiales de construcción y reparación</v>
      </c>
      <c r="I19" s="10">
        <v>4101.99</v>
      </c>
      <c r="J19" s="10">
        <v>8194.57</v>
      </c>
      <c r="K19" s="10">
        <f>241.36</f>
        <v>241.36</v>
      </c>
      <c r="L19" s="10"/>
      <c r="M19" s="11">
        <f>SUM(Tabla13455[[#This Row],[TRIMESTRE  I]:[TRIMESTRE IV]])</f>
        <v>12537.92</v>
      </c>
      <c r="N19" s="12" t="s">
        <v>19</v>
      </c>
      <c r="O19" s="13" t="s">
        <v>314</v>
      </c>
      <c r="P19" s="8" t="s">
        <v>361</v>
      </c>
    </row>
    <row r="20" spans="1:16" ht="37.5" customHeight="1" x14ac:dyDescent="0.2">
      <c r="A20" s="3">
        <v>1300000</v>
      </c>
      <c r="B20" s="86" t="s">
        <v>359</v>
      </c>
      <c r="C20" s="5">
        <v>530</v>
      </c>
      <c r="D20" s="6" t="str">
        <f>IF(C20&lt;=0,"",VLOOKUP(C20,[7]FF!A:D,2,0))</f>
        <v>PARTICIPACIONES Ramo 28</v>
      </c>
      <c r="E20" s="5" t="s">
        <v>360</v>
      </c>
      <c r="F20" s="7" t="s">
        <v>15</v>
      </c>
      <c r="G20" s="8">
        <v>253001</v>
      </c>
      <c r="H20" s="9" t="str">
        <f>IF(G20&lt;=0,"",VLOOKUP(G20,[7]COG!A:H,2,0))</f>
        <v>Material y productos químicos, farmacéuticos</v>
      </c>
      <c r="I20" s="10">
        <v>0</v>
      </c>
      <c r="J20" s="10">
        <v>0</v>
      </c>
      <c r="K20" s="10">
        <v>0</v>
      </c>
      <c r="L20" s="10"/>
      <c r="M20" s="11">
        <f>SUM(Tabla13455[[#This Row],[TRIMESTRE  I]:[TRIMESTRE IV]])</f>
        <v>0</v>
      </c>
      <c r="N20" s="12" t="s">
        <v>19</v>
      </c>
      <c r="O20" s="13">
        <v>45690</v>
      </c>
      <c r="P20" s="8" t="s">
        <v>361</v>
      </c>
    </row>
    <row r="21" spans="1:16" ht="37.5" customHeight="1" x14ac:dyDescent="0.2">
      <c r="A21" s="3">
        <v>1300000</v>
      </c>
      <c r="B21" s="86" t="s">
        <v>359</v>
      </c>
      <c r="C21" s="5">
        <v>530</v>
      </c>
      <c r="D21" s="6" t="str">
        <f>IF(C21&lt;=0,"",VLOOKUP(C21,[7]FF!A:D,2,0))</f>
        <v>PARTICIPACIONES Ramo 28</v>
      </c>
      <c r="E21" s="5" t="s">
        <v>360</v>
      </c>
      <c r="F21" s="7" t="s">
        <v>15</v>
      </c>
      <c r="G21" s="8">
        <v>256001</v>
      </c>
      <c r="H21" s="9" t="str">
        <f>IF(G21&lt;=0,"",VLOOKUP(G21,[7]COG!A:H,2,0))</f>
        <v>Fibras sintéticas, hules, plásticos y derivados</v>
      </c>
      <c r="I21" s="10">
        <v>338</v>
      </c>
      <c r="J21" s="10">
        <v>0</v>
      </c>
      <c r="K21" s="10">
        <f>59</f>
        <v>59</v>
      </c>
      <c r="L21" s="10">
        <v>0</v>
      </c>
      <c r="M21" s="11">
        <f>SUM(Tabla13455[[#This Row],[TRIMESTRE  I]:[TRIMESTRE IV]])</f>
        <v>397</v>
      </c>
      <c r="N21" s="12"/>
      <c r="O21" s="13">
        <v>45690</v>
      </c>
      <c r="P21" s="8" t="s">
        <v>361</v>
      </c>
    </row>
    <row r="22" spans="1:16" ht="37.5" customHeight="1" x14ac:dyDescent="0.2">
      <c r="A22" s="3">
        <v>1300000</v>
      </c>
      <c r="B22" s="86" t="s">
        <v>359</v>
      </c>
      <c r="C22" s="5">
        <v>530</v>
      </c>
      <c r="D22" s="6" t="str">
        <f>IF(C22&lt;=0,"",VLOOKUP(C22,[7]FF!A:D,2,0))</f>
        <v>PARTICIPACIONES Ramo 28</v>
      </c>
      <c r="E22" s="5" t="s">
        <v>360</v>
      </c>
      <c r="F22" s="7" t="s">
        <v>15</v>
      </c>
      <c r="G22" s="8">
        <v>261001</v>
      </c>
      <c r="H22" s="9" t="str">
        <f>IF(G22&lt;=0,"",VLOOKUP(G22,[7]COG!A:H,2,0))</f>
        <v>Combustibles</v>
      </c>
      <c r="I22" s="10">
        <v>157415.13</v>
      </c>
      <c r="J22" s="10">
        <f>223753.17+14812.9+19287.85</f>
        <v>257853.92</v>
      </c>
      <c r="K22" s="10">
        <f>70348.74+19687.79+18451.82+20000</f>
        <v>128488.35</v>
      </c>
      <c r="L22" s="10"/>
      <c r="M22" s="11">
        <f>SUM(Tabla13455[[#This Row],[TRIMESTRE  I]:[TRIMESTRE IV]])</f>
        <v>543757.4</v>
      </c>
      <c r="N22" s="12" t="s">
        <v>17</v>
      </c>
      <c r="O22" s="13" t="s">
        <v>314</v>
      </c>
      <c r="P22" s="8" t="s">
        <v>61</v>
      </c>
    </row>
    <row r="23" spans="1:16" ht="37.5" customHeight="1" x14ac:dyDescent="0.2">
      <c r="A23" s="3">
        <v>1300000</v>
      </c>
      <c r="B23" s="86" t="s">
        <v>359</v>
      </c>
      <c r="C23" s="5">
        <v>530</v>
      </c>
      <c r="D23" s="6" t="str">
        <f>IF(C23&lt;=0,"",VLOOKUP(C23,[7]FF!A:D,2,0))</f>
        <v>PARTICIPACIONES Ramo 28</v>
      </c>
      <c r="E23" s="5" t="s">
        <v>360</v>
      </c>
      <c r="F23" s="7" t="s">
        <v>15</v>
      </c>
      <c r="G23" s="8">
        <v>261002</v>
      </c>
      <c r="H23" s="9" t="str">
        <f>IF(G23&lt;=0,"",VLOOKUP(G23,[7]COG!A:H,2,0))</f>
        <v>Lubricantes y aditivos</v>
      </c>
      <c r="I23" s="10">
        <v>0</v>
      </c>
      <c r="J23" s="10">
        <v>0</v>
      </c>
      <c r="K23" s="10">
        <v>0</v>
      </c>
      <c r="L23" s="10"/>
      <c r="M23" s="11">
        <f>SUM(Tabla13455[[#This Row],[TRIMESTRE  I]:[TRIMESTRE IV]])</f>
        <v>0</v>
      </c>
      <c r="N23" s="12" t="s">
        <v>19</v>
      </c>
      <c r="O23" s="13">
        <v>45690</v>
      </c>
      <c r="P23" s="8" t="s">
        <v>361</v>
      </c>
    </row>
    <row r="24" spans="1:16" ht="37.5" customHeight="1" x14ac:dyDescent="0.2">
      <c r="A24" s="3">
        <v>1300000</v>
      </c>
      <c r="B24" s="86" t="s">
        <v>359</v>
      </c>
      <c r="C24" s="5">
        <v>530</v>
      </c>
      <c r="D24" s="6" t="str">
        <f>IF(C24&lt;=0,"",VLOOKUP(C24,[7]FF!A:D,2,0))</f>
        <v>PARTICIPACIONES Ramo 28</v>
      </c>
      <c r="E24" s="5" t="s">
        <v>360</v>
      </c>
      <c r="F24" s="7" t="s">
        <v>15</v>
      </c>
      <c r="G24" s="8">
        <v>271001</v>
      </c>
      <c r="H24" s="9" t="str">
        <f>IF(G24&lt;=0,"",VLOOKUP(G24,[7]COG!A:H,2,0))</f>
        <v>Ropa, vestuario y equipo</v>
      </c>
      <c r="I24" s="10">
        <v>0</v>
      </c>
      <c r="J24" s="10">
        <v>0</v>
      </c>
      <c r="K24" s="10">
        <v>0</v>
      </c>
      <c r="L24" s="10"/>
      <c r="M24" s="11">
        <f>SUM(Tabla13455[[#This Row],[TRIMESTRE  I]:[TRIMESTRE IV]])</f>
        <v>0</v>
      </c>
      <c r="N24" s="12" t="s">
        <v>17</v>
      </c>
      <c r="O24" s="13" t="s">
        <v>314</v>
      </c>
      <c r="P24" s="8" t="s">
        <v>361</v>
      </c>
    </row>
    <row r="25" spans="1:16" ht="37.5" customHeight="1" x14ac:dyDescent="0.2">
      <c r="A25" s="3">
        <v>1300000</v>
      </c>
      <c r="B25" s="86" t="s">
        <v>359</v>
      </c>
      <c r="C25" s="5">
        <v>530</v>
      </c>
      <c r="D25" s="6" t="str">
        <f>IF(C25&lt;=0,"",VLOOKUP(C25,[7]FF!A:D,2,0))</f>
        <v>PARTICIPACIONES Ramo 28</v>
      </c>
      <c r="E25" s="5" t="s">
        <v>360</v>
      </c>
      <c r="F25" s="7" t="s">
        <v>15</v>
      </c>
      <c r="G25" s="8">
        <v>292001</v>
      </c>
      <c r="H25" s="9" t="str">
        <f>IF(G25&lt;=0,"",VLOOKUP(G25,[7]COG!A:H,2,0))</f>
        <v>Refacciones y accesorios menores de edificios (candados, cerraduras, chapas, llaves)</v>
      </c>
      <c r="I25" s="10">
        <v>97.44</v>
      </c>
      <c r="J25" s="10">
        <v>0</v>
      </c>
      <c r="K25" s="10">
        <v>0</v>
      </c>
      <c r="L25" s="10"/>
      <c r="M25" s="11">
        <f>SUM(Tabla13455[[#This Row],[TRIMESTRE  I]:[TRIMESTRE IV]])</f>
        <v>97.44</v>
      </c>
      <c r="N25" s="12" t="s">
        <v>19</v>
      </c>
      <c r="O25" s="13">
        <v>45690</v>
      </c>
      <c r="P25" s="8" t="s">
        <v>361</v>
      </c>
    </row>
    <row r="26" spans="1:16" ht="37.5" customHeight="1" x14ac:dyDescent="0.2">
      <c r="A26" s="3">
        <v>1300000</v>
      </c>
      <c r="B26" s="86" t="s">
        <v>359</v>
      </c>
      <c r="C26" s="5">
        <v>530</v>
      </c>
      <c r="D26" s="6" t="str">
        <f>IF(C26&lt;=0,"",VLOOKUP(C26,[7]FF!A:D,2,0))</f>
        <v>PARTICIPACIONES Ramo 28</v>
      </c>
      <c r="E26" s="5" t="s">
        <v>360</v>
      </c>
      <c r="F26" s="7" t="s">
        <v>15</v>
      </c>
      <c r="G26" s="8">
        <v>293001</v>
      </c>
      <c r="H26" s="9" t="str">
        <f>IF(G26&lt;=0,"",VLOOKUP(G26,[7]COG!A:H,2,0))</f>
        <v>Refacciones y accesorios menores de mobiliario y equipo de administración, educacional y recreativo</v>
      </c>
      <c r="I26" s="10">
        <v>0</v>
      </c>
      <c r="J26" s="10">
        <v>0</v>
      </c>
      <c r="K26" s="10">
        <v>0</v>
      </c>
      <c r="L26" s="10"/>
      <c r="M26" s="11">
        <f>SUM(Tabla13455[[#This Row],[TRIMESTRE  I]:[TRIMESTRE IV]])</f>
        <v>0</v>
      </c>
      <c r="N26" s="12" t="s">
        <v>19</v>
      </c>
      <c r="O26" s="13" t="s">
        <v>314</v>
      </c>
      <c r="P26" s="8" t="s">
        <v>361</v>
      </c>
    </row>
    <row r="27" spans="1:16" ht="37.5" customHeight="1" x14ac:dyDescent="0.2">
      <c r="A27" s="3">
        <v>1300000</v>
      </c>
      <c r="B27" s="86" t="s">
        <v>359</v>
      </c>
      <c r="C27" s="5">
        <v>530</v>
      </c>
      <c r="D27" s="6" t="str">
        <f>IF(C27&lt;=0,"",VLOOKUP(C27,[7]FF!A:D,2,0))</f>
        <v>PARTICIPACIONES Ramo 28</v>
      </c>
      <c r="E27" s="5" t="s">
        <v>360</v>
      </c>
      <c r="F27" s="7" t="s">
        <v>15</v>
      </c>
      <c r="G27" s="8">
        <v>294001</v>
      </c>
      <c r="H27" s="9" t="str">
        <f>IF(G27&lt;=0,"",VLOOKUP(G27,[7]COG!A:H,2,0))</f>
        <v>Dispositivos Internos y Externos de Equipo de Computo</v>
      </c>
      <c r="I27" s="10">
        <v>0</v>
      </c>
      <c r="J27" s="10">
        <v>800</v>
      </c>
      <c r="K27" s="10">
        <f>1496.4</f>
        <v>1496.4</v>
      </c>
      <c r="L27" s="10"/>
      <c r="M27" s="11">
        <f>SUM(Tabla13455[[#This Row],[TRIMESTRE  I]:[TRIMESTRE IV]])</f>
        <v>2296.4</v>
      </c>
      <c r="N27" s="12" t="s">
        <v>19</v>
      </c>
      <c r="O27" s="13">
        <v>45690</v>
      </c>
      <c r="P27" s="8" t="s">
        <v>361</v>
      </c>
    </row>
    <row r="28" spans="1:16" ht="37.5" customHeight="1" x14ac:dyDescent="0.2">
      <c r="A28" s="3">
        <v>1300000</v>
      </c>
      <c r="B28" s="86" t="s">
        <v>359</v>
      </c>
      <c r="C28" s="5">
        <v>530</v>
      </c>
      <c r="D28" s="6" t="str">
        <f>IF(C28&lt;=0,"",VLOOKUP(C28,[7]FF!A:D,2,0))</f>
        <v>PARTICIPACIONES Ramo 28</v>
      </c>
      <c r="E28" s="5" t="s">
        <v>360</v>
      </c>
      <c r="F28" s="7" t="s">
        <v>15</v>
      </c>
      <c r="G28" s="8">
        <v>294002</v>
      </c>
      <c r="H28" s="9" t="str">
        <f>IF(G28&lt;=0,"",VLOOKUP(G28,[7]COG!A:H,2,0))</f>
        <v>Refacciones y Accesorios Menores de Equipo de Computo</v>
      </c>
      <c r="I28" s="10">
        <v>0</v>
      </c>
      <c r="J28" s="10">
        <f>1206.4</f>
        <v>1206.4000000000001</v>
      </c>
      <c r="K28" s="10"/>
      <c r="L28" s="10"/>
      <c r="M28" s="11">
        <f>SUM(Tabla13455[[#This Row],[TRIMESTRE  I]:[TRIMESTRE IV]])</f>
        <v>1206.4000000000001</v>
      </c>
      <c r="N28" s="12" t="s">
        <v>19</v>
      </c>
      <c r="O28" s="13" t="s">
        <v>314</v>
      </c>
      <c r="P28" s="8" t="s">
        <v>361</v>
      </c>
    </row>
    <row r="29" spans="1:16" ht="37.5" customHeight="1" x14ac:dyDescent="0.2">
      <c r="A29" s="3">
        <v>1300000</v>
      </c>
      <c r="B29" s="86" t="s">
        <v>359</v>
      </c>
      <c r="C29" s="5">
        <v>530</v>
      </c>
      <c r="D29" s="6" t="str">
        <f>IF(C29&lt;=0,"",VLOOKUP(C29,[7]FF!A:D,2,0))</f>
        <v>PARTICIPACIONES Ramo 28</v>
      </c>
      <c r="E29" s="5" t="s">
        <v>360</v>
      </c>
      <c r="F29" s="7" t="s">
        <v>15</v>
      </c>
      <c r="G29" s="8">
        <v>296001</v>
      </c>
      <c r="H29" s="9" t="str">
        <f>IF(G29&lt;=0,"",VLOOKUP(G29,[7]COG!A:H,2,0))</f>
        <v>Herramientas, refacciones y accesorios</v>
      </c>
      <c r="I29" s="10">
        <v>0</v>
      </c>
      <c r="J29" s="10">
        <v>0</v>
      </c>
      <c r="K29" s="10">
        <v>0</v>
      </c>
      <c r="L29" s="10"/>
      <c r="M29" s="11">
        <f>SUM(Tabla13455[[#This Row],[TRIMESTRE  I]:[TRIMESTRE IV]])</f>
        <v>0</v>
      </c>
      <c r="N29" s="12" t="s">
        <v>19</v>
      </c>
      <c r="O29" s="13">
        <v>45690</v>
      </c>
      <c r="P29" s="8" t="s">
        <v>361</v>
      </c>
    </row>
    <row r="30" spans="1:16" ht="37.5" customHeight="1" x14ac:dyDescent="0.2">
      <c r="A30" s="3">
        <v>1300000</v>
      </c>
      <c r="B30" s="86" t="s">
        <v>359</v>
      </c>
      <c r="C30" s="5">
        <v>530</v>
      </c>
      <c r="D30" s="6" t="str">
        <f>IF(C30&lt;=0,"",VLOOKUP(C30,[7]FF!A:D,2,0))</f>
        <v>PARTICIPACIONES Ramo 28</v>
      </c>
      <c r="E30" s="5" t="s">
        <v>360</v>
      </c>
      <c r="F30" s="7" t="s">
        <v>15</v>
      </c>
      <c r="G30" s="8">
        <v>298001</v>
      </c>
      <c r="H30" s="87" t="str">
        <f>IF(G30&lt;=0,"",VLOOKUP(G30,[7]COG!A:H,2,0))</f>
        <v>Refacciones y accesorios menores de maquinaria y otros equipos</v>
      </c>
      <c r="I30" s="10">
        <v>0</v>
      </c>
      <c r="J30" s="10">
        <v>529</v>
      </c>
      <c r="K30" s="10">
        <f>3451.81</f>
        <v>3451.81</v>
      </c>
      <c r="L30" s="10">
        <v>0</v>
      </c>
      <c r="M30" s="11">
        <f>SUM(Tabla13455[[#This Row],[TRIMESTRE  I]:[TRIMESTRE IV]])</f>
        <v>3980.81</v>
      </c>
      <c r="N30" s="12" t="s">
        <v>19</v>
      </c>
      <c r="O30" s="13">
        <v>45749</v>
      </c>
      <c r="P30" s="8" t="s">
        <v>361</v>
      </c>
    </row>
    <row r="31" spans="1:16" ht="37.5" customHeight="1" x14ac:dyDescent="0.2">
      <c r="A31" s="3">
        <v>1300000</v>
      </c>
      <c r="B31" s="86" t="s">
        <v>359</v>
      </c>
      <c r="C31" s="5">
        <v>530</v>
      </c>
      <c r="D31" s="6" t="str">
        <f>IF(C31&lt;=0,"",VLOOKUP(C31,[7]FF!A:D,2,0))</f>
        <v>PARTICIPACIONES Ramo 28</v>
      </c>
      <c r="E31" s="5" t="s">
        <v>360</v>
      </c>
      <c r="F31" s="7" t="s">
        <v>15</v>
      </c>
      <c r="G31" s="8">
        <v>299001</v>
      </c>
      <c r="H31" s="9" t="str">
        <f>IF(G31&lt;=0,"",VLOOKUP(G31,[7]COG!A:H,2,0))</f>
        <v>Refacciones y accesorios menores otros bienes muebles</v>
      </c>
      <c r="I31" s="10">
        <v>0</v>
      </c>
      <c r="J31" s="10">
        <f>5081</f>
        <v>5081</v>
      </c>
      <c r="K31" s="10">
        <f>1041.26</f>
        <v>1041.26</v>
      </c>
      <c r="L31" s="10"/>
      <c r="M31" s="11">
        <f>SUM(Tabla13455[[#This Row],[TRIMESTRE  I]:[TRIMESTRE IV]])</f>
        <v>6122.26</v>
      </c>
      <c r="N31" s="12" t="s">
        <v>19</v>
      </c>
      <c r="O31" s="13">
        <v>45690</v>
      </c>
      <c r="P31" s="8" t="s">
        <v>361</v>
      </c>
    </row>
    <row r="32" spans="1:16" ht="37.5" customHeight="1" x14ac:dyDescent="0.2">
      <c r="A32" s="3">
        <v>1300000</v>
      </c>
      <c r="B32" s="86" t="s">
        <v>359</v>
      </c>
      <c r="C32" s="5">
        <v>530</v>
      </c>
      <c r="D32" s="6" t="str">
        <f>IF(C32&lt;=0,"",VLOOKUP(C32,[7]FF!A:D,2,0))</f>
        <v>PARTICIPACIONES Ramo 28</v>
      </c>
      <c r="E32" s="5" t="s">
        <v>360</v>
      </c>
      <c r="F32" s="7" t="s">
        <v>22</v>
      </c>
      <c r="G32" s="8">
        <v>311001</v>
      </c>
      <c r="H32" s="9" t="str">
        <f>IF(G32&lt;=0,"",VLOOKUP(G32,[7]COG!A:H,2,0))</f>
        <v>Servicio de energía eléctrica</v>
      </c>
      <c r="I32" s="10">
        <f>22476+6735+22838</f>
        <v>52049</v>
      </c>
      <c r="J32" s="10">
        <f>23031+5821+38637</f>
        <v>67489</v>
      </c>
      <c r="K32" s="10">
        <f>49294+10944+40927</f>
        <v>101165</v>
      </c>
      <c r="L32" s="10"/>
      <c r="M32" s="11">
        <f>SUM(Tabla13455[[#This Row],[TRIMESTRE  I]:[TRIMESTRE IV]])</f>
        <v>220703</v>
      </c>
      <c r="N32" s="12"/>
      <c r="O32" s="12"/>
      <c r="P32" s="8"/>
    </row>
    <row r="33" spans="1:16" ht="37.5" customHeight="1" x14ac:dyDescent="0.2">
      <c r="A33" s="3">
        <v>1300000</v>
      </c>
      <c r="B33" s="86" t="s">
        <v>359</v>
      </c>
      <c r="C33" s="5">
        <v>530</v>
      </c>
      <c r="D33" s="6" t="str">
        <f>IF(C33&lt;=0,"",VLOOKUP(C33,[7]FF!A:D,2,0))</f>
        <v>PARTICIPACIONES Ramo 28</v>
      </c>
      <c r="E33" s="5" t="s">
        <v>360</v>
      </c>
      <c r="F33" s="7" t="s">
        <v>22</v>
      </c>
      <c r="G33" s="8">
        <v>313001</v>
      </c>
      <c r="H33" s="9" t="str">
        <f>IF(G33&lt;=0,"",VLOOKUP(G33,[7]COG!A:H,2,0))</f>
        <v>Servicio de agua potable</v>
      </c>
      <c r="I33" s="10">
        <v>0</v>
      </c>
      <c r="J33" s="10">
        <f>107986.8</f>
        <v>107986.8</v>
      </c>
      <c r="K33" s="10">
        <f>86389.44</f>
        <v>86389.440000000002</v>
      </c>
      <c r="L33" s="10"/>
      <c r="M33" s="11">
        <f>SUM(Tabla13455[[#This Row],[TRIMESTRE  I]:[TRIMESTRE IV]])</f>
        <v>194376.24</v>
      </c>
      <c r="N33" s="12"/>
      <c r="O33" s="12"/>
      <c r="P33" s="8"/>
    </row>
    <row r="34" spans="1:16" ht="37.5" customHeight="1" x14ac:dyDescent="0.2">
      <c r="A34" s="3">
        <v>1300000</v>
      </c>
      <c r="B34" s="86" t="s">
        <v>359</v>
      </c>
      <c r="C34" s="5">
        <v>530</v>
      </c>
      <c r="D34" s="6" t="str">
        <f>IF(C34&lt;=0,"",VLOOKUP(C34,[7]FF!A:D,2,0))</f>
        <v>PARTICIPACIONES Ramo 28</v>
      </c>
      <c r="E34" s="5" t="s">
        <v>360</v>
      </c>
      <c r="F34" s="7" t="s">
        <v>22</v>
      </c>
      <c r="G34" s="8">
        <v>314001</v>
      </c>
      <c r="H34" s="9" t="str">
        <f>IF(G34&lt;=0,"",VLOOKUP(G34,[7]COG!A:H,2,0))</f>
        <v>Servicio telefónico</v>
      </c>
      <c r="I34" s="10">
        <f>21248.4+24650.43</f>
        <v>45898.83</v>
      </c>
      <c r="J34" s="10">
        <f>28331.2+32867.24</f>
        <v>61198.44</v>
      </c>
      <c r="K34" s="10">
        <f>13929.86+16433.62</f>
        <v>30363.48</v>
      </c>
      <c r="L34" s="10"/>
      <c r="M34" s="11">
        <f>SUM(Tabla13455[[#This Row],[TRIMESTRE  I]:[TRIMESTRE IV]])</f>
        <v>137460.75</v>
      </c>
      <c r="N34" s="12"/>
      <c r="O34" s="12"/>
      <c r="P34" s="8"/>
    </row>
    <row r="35" spans="1:16" ht="37.5" customHeight="1" x14ac:dyDescent="0.2">
      <c r="A35" s="3">
        <v>1300000</v>
      </c>
      <c r="B35" s="86" t="s">
        <v>359</v>
      </c>
      <c r="C35" s="5">
        <v>530</v>
      </c>
      <c r="D35" s="6" t="str">
        <f>IF(C35&lt;=0,"",VLOOKUP(C35,[7]FF!A:D,2,0))</f>
        <v>PARTICIPACIONES Ramo 28</v>
      </c>
      <c r="E35" s="5" t="s">
        <v>360</v>
      </c>
      <c r="F35" s="7" t="s">
        <v>22</v>
      </c>
      <c r="G35" s="8">
        <v>317001</v>
      </c>
      <c r="H35" s="9" t="str">
        <f>IF(G35&lt;=0,"",VLOOKUP(G35,[7]COG!A:H,2,0))</f>
        <v>Servicios de acceso de Internet, redes y procesamiento de información</v>
      </c>
      <c r="I35" s="10">
        <v>48576.01</v>
      </c>
      <c r="J35" s="10">
        <f>34671.32</f>
        <v>34671.32</v>
      </c>
      <c r="K35" s="10">
        <f>13878.86</f>
        <v>13878.86</v>
      </c>
      <c r="L35" s="10"/>
      <c r="M35" s="11">
        <f>SUM(Tabla13455[[#This Row],[TRIMESTRE  I]:[TRIMESTRE IV]])</f>
        <v>97126.19</v>
      </c>
      <c r="N35" s="12"/>
      <c r="O35" s="12"/>
      <c r="P35" s="8"/>
    </row>
    <row r="36" spans="1:16" ht="37.5" customHeight="1" x14ac:dyDescent="0.2">
      <c r="A36" s="3">
        <v>1300000</v>
      </c>
      <c r="B36" s="86" t="s">
        <v>359</v>
      </c>
      <c r="C36" s="5">
        <v>530</v>
      </c>
      <c r="D36" s="6" t="str">
        <f>IF(C36&lt;=0,"",VLOOKUP(C36,[7]FF!A:D,2,0))</f>
        <v>PARTICIPACIONES Ramo 28</v>
      </c>
      <c r="E36" s="5" t="s">
        <v>360</v>
      </c>
      <c r="F36" s="7" t="s">
        <v>22</v>
      </c>
      <c r="G36" s="8">
        <v>318001</v>
      </c>
      <c r="H36" s="9" t="str">
        <f>IF(G36&lt;=0,"",VLOOKUP(G36,[7]COG!A:H,2,0))</f>
        <v>Servicio postal y telegráfico</v>
      </c>
      <c r="I36" s="10">
        <f>233.16</f>
        <v>233.16</v>
      </c>
      <c r="J36" s="10">
        <f>1314.52</f>
        <v>1314.52</v>
      </c>
      <c r="K36" s="10">
        <f>1047.46</f>
        <v>1047.46</v>
      </c>
      <c r="L36" s="10"/>
      <c r="M36" s="11">
        <f>SUM(Tabla13455[[#This Row],[TRIMESTRE  I]:[TRIMESTRE IV]])</f>
        <v>2595.1400000000003</v>
      </c>
      <c r="N36" s="12" t="s">
        <v>19</v>
      </c>
      <c r="O36" s="13">
        <v>45690</v>
      </c>
      <c r="P36" s="8" t="s">
        <v>361</v>
      </c>
    </row>
    <row r="37" spans="1:16" ht="37.5" customHeight="1" x14ac:dyDescent="0.2">
      <c r="A37" s="3">
        <v>1300000</v>
      </c>
      <c r="B37" s="86" t="s">
        <v>359</v>
      </c>
      <c r="C37" s="5">
        <v>530</v>
      </c>
      <c r="D37" s="6" t="str">
        <f>IF(C37&lt;=0,"",VLOOKUP(C37,[7]FF!A:D,2,0))</f>
        <v>PARTICIPACIONES Ramo 28</v>
      </c>
      <c r="E37" s="5" t="s">
        <v>360</v>
      </c>
      <c r="F37" s="7" t="s">
        <v>22</v>
      </c>
      <c r="G37" s="8">
        <v>323002</v>
      </c>
      <c r="H37" s="9" t="str">
        <f>IF(G37&lt;=0,"",VLOOKUP(G37,[7]COG!A:H,2,0))</f>
        <v>Arrendamiento de maquinaria y equipo de Administración</v>
      </c>
      <c r="I37" s="10">
        <v>0</v>
      </c>
      <c r="J37" s="10">
        <f>19488</f>
        <v>19488</v>
      </c>
      <c r="K37" s="10">
        <f>7795.2</f>
        <v>7795.2</v>
      </c>
      <c r="L37" s="10"/>
      <c r="M37" s="11">
        <f>SUM(Tabla13455[[#This Row],[TRIMESTRE  I]:[TRIMESTRE IV]])</f>
        <v>27283.200000000001</v>
      </c>
      <c r="N37" s="12" t="s">
        <v>362</v>
      </c>
      <c r="O37" s="13" t="s">
        <v>314</v>
      </c>
      <c r="P37" s="8" t="s">
        <v>61</v>
      </c>
    </row>
    <row r="38" spans="1:16" ht="37.5" customHeight="1" x14ac:dyDescent="0.2">
      <c r="A38" s="3">
        <v>1300000</v>
      </c>
      <c r="B38" s="86" t="s">
        <v>359</v>
      </c>
      <c r="C38" s="5">
        <v>530</v>
      </c>
      <c r="D38" s="6" t="str">
        <f>IF(C38&lt;=0,"",VLOOKUP(C38,[7]FF!A:D,2,0))</f>
        <v>PARTICIPACIONES Ramo 28</v>
      </c>
      <c r="E38" s="5" t="s">
        <v>360</v>
      </c>
      <c r="F38" s="7" t="s">
        <v>22</v>
      </c>
      <c r="G38" s="8">
        <v>325001</v>
      </c>
      <c r="H38" s="9" t="str">
        <f>IF(G38&lt;=0,"",VLOOKUP(G38,[7]COG!A:H,2,0))</f>
        <v>Arrendamiento de equipo de transporte</v>
      </c>
      <c r="I38" s="10">
        <v>0</v>
      </c>
      <c r="J38" s="10">
        <v>0</v>
      </c>
      <c r="K38" s="10">
        <v>0</v>
      </c>
      <c r="L38" s="10"/>
      <c r="M38" s="11">
        <f>SUM(Tabla13455[[#This Row],[TRIMESTRE  I]:[TRIMESTRE IV]])</f>
        <v>0</v>
      </c>
      <c r="N38" s="12" t="s">
        <v>19</v>
      </c>
      <c r="O38" s="13">
        <v>45690</v>
      </c>
      <c r="P38" s="73" t="s">
        <v>361</v>
      </c>
    </row>
    <row r="39" spans="1:16" ht="37.5" customHeight="1" x14ac:dyDescent="0.2">
      <c r="A39" s="3">
        <v>1300000</v>
      </c>
      <c r="B39" s="86" t="s">
        <v>359</v>
      </c>
      <c r="C39" s="5">
        <v>530</v>
      </c>
      <c r="D39" s="6" t="str">
        <f>IF(C39&lt;=0,"",VLOOKUP(C39,[7]FF!A:D,2,0))</f>
        <v>PARTICIPACIONES Ramo 28</v>
      </c>
      <c r="E39" s="5" t="s">
        <v>360</v>
      </c>
      <c r="F39" s="7" t="s">
        <v>22</v>
      </c>
      <c r="G39" s="8">
        <v>331001</v>
      </c>
      <c r="H39" s="9" t="str">
        <f>IF(G39&lt;=0,"",VLOOKUP(G39,[7]COG!A:H,2,0))</f>
        <v>Asesorías</v>
      </c>
      <c r="I39" s="10">
        <v>0</v>
      </c>
      <c r="J39" s="10">
        <v>0</v>
      </c>
      <c r="K39" s="10">
        <v>0</v>
      </c>
      <c r="L39" s="10"/>
      <c r="M39" s="11">
        <f>SUM(Tabla13455[[#This Row],[TRIMESTRE  I]:[TRIMESTRE IV]])</f>
        <v>0</v>
      </c>
      <c r="N39" s="12" t="s">
        <v>363</v>
      </c>
      <c r="O39" s="13" t="s">
        <v>314</v>
      </c>
      <c r="P39" s="45" t="s">
        <v>361</v>
      </c>
    </row>
    <row r="40" spans="1:16" ht="37.5" customHeight="1" x14ac:dyDescent="0.2">
      <c r="A40" s="3">
        <v>1300000</v>
      </c>
      <c r="B40" s="86" t="s">
        <v>359</v>
      </c>
      <c r="C40" s="5">
        <v>530</v>
      </c>
      <c r="D40" s="6" t="str">
        <f>IF(C40&lt;=0,"",VLOOKUP(C40,[7]FF!A:D,2,0))</f>
        <v>PARTICIPACIONES Ramo 28</v>
      </c>
      <c r="E40" s="5" t="s">
        <v>360</v>
      </c>
      <c r="F40" s="7" t="s">
        <v>22</v>
      </c>
      <c r="G40" s="8">
        <v>334001</v>
      </c>
      <c r="H40" s="9" t="str">
        <f>IF(G40&lt;=0,"",VLOOKUP(G40,[7]COG!A:H,2,0))</f>
        <v>Cuotas e inscripciones</v>
      </c>
      <c r="I40" s="10">
        <v>0</v>
      </c>
      <c r="J40" s="10">
        <v>0</v>
      </c>
      <c r="K40" s="10">
        <v>0</v>
      </c>
      <c r="L40" s="10"/>
      <c r="M40" s="11">
        <f>SUM(Tabla13455[[#This Row],[TRIMESTRE  I]:[TRIMESTRE IV]])</f>
        <v>0</v>
      </c>
      <c r="N40" s="12" t="s">
        <v>19</v>
      </c>
      <c r="O40" s="13">
        <v>45690</v>
      </c>
      <c r="P40" s="8" t="s">
        <v>361</v>
      </c>
    </row>
    <row r="41" spans="1:16" ht="37.5" customHeight="1" x14ac:dyDescent="0.2">
      <c r="A41" s="3">
        <v>1300000</v>
      </c>
      <c r="B41" s="86" t="s">
        <v>359</v>
      </c>
      <c r="C41" s="5">
        <v>530</v>
      </c>
      <c r="D41" s="6" t="str">
        <f>IF(C41&lt;=0,"",VLOOKUP(C41,[7]FF!A:D,2,0))</f>
        <v>PARTICIPACIONES Ramo 28</v>
      </c>
      <c r="E41" s="5" t="s">
        <v>360</v>
      </c>
      <c r="F41" s="7" t="s">
        <v>22</v>
      </c>
      <c r="G41" s="8">
        <v>336001</v>
      </c>
      <c r="H41" s="9" t="str">
        <f>IF(G41&lt;=0,"",VLOOKUP(G41,[7]COG!A:H,2,0))</f>
        <v>Servicio de Fotocopiado, Enmicado y Encuadernación de Documentos.</v>
      </c>
      <c r="I41" s="10">
        <v>0</v>
      </c>
      <c r="J41" s="10">
        <v>0</v>
      </c>
      <c r="K41" s="10">
        <v>101.41</v>
      </c>
      <c r="L41" s="10">
        <v>0</v>
      </c>
      <c r="M41" s="11">
        <f>SUM(Tabla13455[[#This Row],[TRIMESTRE  I]:[TRIMESTRE IV]])</f>
        <v>101.41</v>
      </c>
      <c r="N41" s="12" t="s">
        <v>19</v>
      </c>
      <c r="O41" s="13">
        <v>45813</v>
      </c>
      <c r="P41" s="8" t="s">
        <v>361</v>
      </c>
    </row>
    <row r="42" spans="1:16" ht="37.5" customHeight="1" x14ac:dyDescent="0.2">
      <c r="A42" s="3">
        <v>1300000</v>
      </c>
      <c r="B42" s="86" t="s">
        <v>359</v>
      </c>
      <c r="C42" s="5">
        <v>530</v>
      </c>
      <c r="D42" s="6" t="str">
        <f>IF(C42&lt;=0,"",VLOOKUP(C42,[7]FF!A:D,2,0))</f>
        <v>PARTICIPACIONES Ramo 28</v>
      </c>
      <c r="E42" s="5" t="s">
        <v>360</v>
      </c>
      <c r="F42" s="7" t="s">
        <v>22</v>
      </c>
      <c r="G42" s="8">
        <v>338001</v>
      </c>
      <c r="H42" s="9" t="str">
        <f>IF(G42&lt;=0,"",VLOOKUP(G42,[7]COG!A:H,2,0))</f>
        <v>Servicio de seguridad privada</v>
      </c>
      <c r="I42" s="10">
        <v>0</v>
      </c>
      <c r="J42" s="10">
        <v>0</v>
      </c>
      <c r="K42" s="10">
        <v>0</v>
      </c>
      <c r="L42" s="10"/>
      <c r="M42" s="11">
        <f>SUM(Tabla13455[[#This Row],[TRIMESTRE  I]:[TRIMESTRE IV]])</f>
        <v>0</v>
      </c>
      <c r="N42" s="12" t="s">
        <v>17</v>
      </c>
      <c r="O42" s="13">
        <v>45690</v>
      </c>
      <c r="P42" s="8" t="s">
        <v>61</v>
      </c>
    </row>
    <row r="43" spans="1:16" ht="37.5" customHeight="1" x14ac:dyDescent="0.2">
      <c r="A43" s="3">
        <v>1300000</v>
      </c>
      <c r="B43" s="86" t="s">
        <v>359</v>
      </c>
      <c r="C43" s="5">
        <v>530</v>
      </c>
      <c r="D43" s="6" t="str">
        <f>IF(C43&lt;=0,"",VLOOKUP(C43,[7]FF!A:D,2,0))</f>
        <v>PARTICIPACIONES Ramo 28</v>
      </c>
      <c r="E43" s="5" t="s">
        <v>360</v>
      </c>
      <c r="F43" s="7" t="s">
        <v>22</v>
      </c>
      <c r="G43" s="8">
        <v>341001</v>
      </c>
      <c r="H43" s="9" t="str">
        <f>IF(G43&lt;=0,"",VLOOKUP(G43,[7]COG!A:H,2,0))</f>
        <v>Comisiones, descuentos y otros servicios bancarios</v>
      </c>
      <c r="I43" s="10">
        <v>348</v>
      </c>
      <c r="J43" s="10">
        <v>0</v>
      </c>
      <c r="K43" s="10">
        <v>0</v>
      </c>
      <c r="L43" s="10"/>
      <c r="M43" s="11">
        <f>SUM(Tabla13455[[#This Row],[TRIMESTRE  I]:[TRIMESTRE IV]])</f>
        <v>348</v>
      </c>
      <c r="N43" s="12"/>
      <c r="O43" s="13"/>
      <c r="P43" s="8" t="s">
        <v>361</v>
      </c>
    </row>
    <row r="44" spans="1:16" ht="37.5" customHeight="1" x14ac:dyDescent="0.2">
      <c r="A44" s="3">
        <v>1300000</v>
      </c>
      <c r="B44" s="86" t="s">
        <v>359</v>
      </c>
      <c r="C44" s="5">
        <v>530</v>
      </c>
      <c r="D44" s="6" t="str">
        <f>IF(C44&lt;=0,"",VLOOKUP(C44,[7]FF!A:D,2,0))</f>
        <v>PARTICIPACIONES Ramo 28</v>
      </c>
      <c r="E44" s="5" t="s">
        <v>360</v>
      </c>
      <c r="F44" s="7" t="s">
        <v>22</v>
      </c>
      <c r="G44" s="8">
        <v>345001</v>
      </c>
      <c r="H44" s="9" t="str">
        <f>IF(G44&lt;=0,"",VLOOKUP(G44,[7]COG!A:H,2,0))</f>
        <v>Seguros</v>
      </c>
      <c r="I44" s="10">
        <v>0</v>
      </c>
      <c r="J44" s="10">
        <f>150033.87</f>
        <v>150033.87</v>
      </c>
      <c r="K44" s="10">
        <v>0</v>
      </c>
      <c r="L44" s="10"/>
      <c r="M44" s="11">
        <f>SUM(Tabla13455[[#This Row],[TRIMESTRE  I]:[TRIMESTRE IV]])</f>
        <v>150033.87</v>
      </c>
      <c r="N44" s="12" t="s">
        <v>19</v>
      </c>
      <c r="O44" s="13"/>
      <c r="P44" s="8" t="s">
        <v>361</v>
      </c>
    </row>
    <row r="45" spans="1:16" ht="37.5" customHeight="1" x14ac:dyDescent="0.2">
      <c r="A45" s="3">
        <v>1300000</v>
      </c>
      <c r="B45" s="86" t="s">
        <v>359</v>
      </c>
      <c r="C45" s="5">
        <v>530</v>
      </c>
      <c r="D45" s="6" t="str">
        <f>IF(C45&lt;=0,"",VLOOKUP(C45,[7]FF!A:D,2,0))</f>
        <v>PARTICIPACIONES Ramo 28</v>
      </c>
      <c r="E45" s="5" t="s">
        <v>360</v>
      </c>
      <c r="F45" s="7" t="s">
        <v>22</v>
      </c>
      <c r="G45" s="8">
        <v>346001</v>
      </c>
      <c r="H45" s="89" t="str">
        <f>IF(G45&lt;=0,"",VLOOKUP(G45,[7]COG!A:H,2,0))</f>
        <v>Almacenaje, envase y embalaje</v>
      </c>
      <c r="I45" s="10">
        <v>0</v>
      </c>
      <c r="J45" s="10">
        <v>0</v>
      </c>
      <c r="K45" s="10">
        <f>3314.35</f>
        <v>3314.35</v>
      </c>
      <c r="L45" s="10"/>
      <c r="M45" s="11">
        <f>SUM(Tabla13455[[#This Row],[TRIMESTRE  I]:[TRIMESTRE IV]])</f>
        <v>3314.35</v>
      </c>
      <c r="N45" s="12" t="s">
        <v>19</v>
      </c>
      <c r="O45" s="13"/>
      <c r="P45" s="8" t="s">
        <v>361</v>
      </c>
    </row>
    <row r="46" spans="1:16" ht="37.5" customHeight="1" x14ac:dyDescent="0.2">
      <c r="A46" s="3">
        <v>1300000</v>
      </c>
      <c r="B46" s="86" t="s">
        <v>359</v>
      </c>
      <c r="C46" s="5">
        <v>530</v>
      </c>
      <c r="D46" s="6" t="str">
        <f>IF(C46&lt;=0,"",VLOOKUP(C46,[7]FF!A:D,2,0))</f>
        <v>PARTICIPACIONES Ramo 28</v>
      </c>
      <c r="E46" s="5" t="s">
        <v>360</v>
      </c>
      <c r="F46" s="7" t="s">
        <v>22</v>
      </c>
      <c r="G46" s="8">
        <v>347001</v>
      </c>
      <c r="H46" s="9" t="str">
        <f>IF(G46&lt;=0,"",VLOOKUP(G46,[7]COG!A:H,2,0))</f>
        <v>Fletes, maniobras y almacenaje</v>
      </c>
      <c r="I46" s="10">
        <v>0</v>
      </c>
      <c r="J46" s="10">
        <v>0</v>
      </c>
      <c r="K46" s="10">
        <f>10000</f>
        <v>10000</v>
      </c>
      <c r="L46" s="10"/>
      <c r="M46" s="11">
        <f>SUM(Tabla13455[[#This Row],[TRIMESTRE  I]:[TRIMESTRE IV]])</f>
        <v>10000</v>
      </c>
      <c r="N46" s="12" t="s">
        <v>19</v>
      </c>
      <c r="O46" s="13">
        <v>45690</v>
      </c>
      <c r="P46" s="8" t="s">
        <v>361</v>
      </c>
    </row>
    <row r="47" spans="1:16" ht="37.5" customHeight="1" x14ac:dyDescent="0.2">
      <c r="A47" s="3">
        <v>1300000</v>
      </c>
      <c r="B47" s="86" t="s">
        <v>359</v>
      </c>
      <c r="C47" s="5">
        <v>530</v>
      </c>
      <c r="D47" s="6" t="str">
        <f>IF(C47&lt;=0,"",VLOOKUP(C47,[7]FF!A:D,2,0))</f>
        <v>PARTICIPACIONES Ramo 28</v>
      </c>
      <c r="E47" s="5" t="s">
        <v>360</v>
      </c>
      <c r="F47" s="7" t="s">
        <v>22</v>
      </c>
      <c r="G47" s="8">
        <v>351001</v>
      </c>
      <c r="H47" s="9" t="str">
        <f>IF(G47&lt;=0,"",VLOOKUP(G47,[7]COG!A:H,2,0))</f>
        <v>Mantenimiento de inmuebles</v>
      </c>
      <c r="I47" s="10">
        <v>0</v>
      </c>
      <c r="J47" s="10">
        <f>18956</f>
        <v>18956</v>
      </c>
      <c r="K47" s="10">
        <v>0</v>
      </c>
      <c r="L47" s="10"/>
      <c r="M47" s="11">
        <f>SUM(Tabla13455[[#This Row],[TRIMESTRE  I]:[TRIMESTRE IV]])</f>
        <v>18956</v>
      </c>
      <c r="N47" s="12" t="s">
        <v>19</v>
      </c>
      <c r="O47" s="13">
        <v>45690</v>
      </c>
      <c r="P47" s="8" t="s">
        <v>361</v>
      </c>
    </row>
    <row r="48" spans="1:16" ht="37.5" customHeight="1" x14ac:dyDescent="0.2">
      <c r="A48" s="3">
        <v>1300000</v>
      </c>
      <c r="B48" s="86" t="s">
        <v>359</v>
      </c>
      <c r="C48" s="5">
        <v>530</v>
      </c>
      <c r="D48" s="6" t="str">
        <f>IF(C48&lt;=0,"",VLOOKUP(C48,[7]FF!A:D,2,0))</f>
        <v>PARTICIPACIONES Ramo 28</v>
      </c>
      <c r="E48" s="5" t="s">
        <v>360</v>
      </c>
      <c r="F48" s="7" t="s">
        <v>22</v>
      </c>
      <c r="G48" s="8">
        <v>351002</v>
      </c>
      <c r="H48" s="9" t="str">
        <f>IF(G48&lt;=0,"",VLOOKUP(G48,[7]COG!A:H,2,0))</f>
        <v>Fumigación de Inmuebles</v>
      </c>
      <c r="I48" s="10">
        <v>0</v>
      </c>
      <c r="J48" s="10">
        <f>5800</f>
        <v>5800</v>
      </c>
      <c r="K48" s="10">
        <f>8700</f>
        <v>8700</v>
      </c>
      <c r="L48" s="10"/>
      <c r="M48" s="11">
        <f>SUM(Tabla13455[[#This Row],[TRIMESTRE  I]:[TRIMESTRE IV]])</f>
        <v>14500</v>
      </c>
      <c r="N48" s="12" t="s">
        <v>19</v>
      </c>
      <c r="O48" s="13">
        <v>45690</v>
      </c>
      <c r="P48" s="8" t="s">
        <v>361</v>
      </c>
    </row>
    <row r="49" spans="1:16" ht="37.5" customHeight="1" x14ac:dyDescent="0.2">
      <c r="A49" s="3">
        <v>1300000</v>
      </c>
      <c r="B49" s="86" t="s">
        <v>359</v>
      </c>
      <c r="C49" s="5">
        <v>530</v>
      </c>
      <c r="D49" s="6" t="str">
        <f>IF(C49&lt;=0,"",VLOOKUP(C49,[7]FF!A:D,2,0))</f>
        <v>PARTICIPACIONES Ramo 28</v>
      </c>
      <c r="E49" s="5" t="s">
        <v>360</v>
      </c>
      <c r="F49" s="7" t="s">
        <v>22</v>
      </c>
      <c r="G49" s="8">
        <v>352001</v>
      </c>
      <c r="H49" s="9" t="str">
        <f>IF(G49&lt;=0,"",VLOOKUP(G49,[7]COG!A:H,2,0))</f>
        <v>Mantenimiento de mobiliario y equipo</v>
      </c>
      <c r="I49" s="10">
        <v>0</v>
      </c>
      <c r="J49" s="10">
        <f>1160</f>
        <v>1160</v>
      </c>
      <c r="K49" s="10">
        <v>0</v>
      </c>
      <c r="L49" s="10"/>
      <c r="M49" s="11">
        <f>SUM(Tabla13455[[#This Row],[TRIMESTRE  I]:[TRIMESTRE IV]])</f>
        <v>1160</v>
      </c>
      <c r="N49" s="12" t="s">
        <v>19</v>
      </c>
      <c r="O49" s="13">
        <v>45690</v>
      </c>
      <c r="P49" s="8" t="s">
        <v>361</v>
      </c>
    </row>
    <row r="50" spans="1:16" ht="37.5" customHeight="1" x14ac:dyDescent="0.2">
      <c r="A50" s="3">
        <v>1300000</v>
      </c>
      <c r="B50" s="86" t="s">
        <v>359</v>
      </c>
      <c r="C50" s="5">
        <v>530</v>
      </c>
      <c r="D50" s="6" t="str">
        <f>IF(C50&lt;=0,"",VLOOKUP(C50,[7]FF!A:D,2,0))</f>
        <v>PARTICIPACIONES Ramo 28</v>
      </c>
      <c r="E50" s="5" t="s">
        <v>360</v>
      </c>
      <c r="F50" s="7" t="s">
        <v>22</v>
      </c>
      <c r="G50" s="8">
        <v>352002</v>
      </c>
      <c r="H50" s="9" t="str">
        <f>IF(G50&lt;=0,"",VLOOKUP(G50,[7]COG!A:H,2,0))</f>
        <v>Gastos de instalación</v>
      </c>
      <c r="I50" s="10">
        <v>0</v>
      </c>
      <c r="J50" s="10">
        <v>0</v>
      </c>
      <c r="K50" s="10">
        <v>0</v>
      </c>
      <c r="L50" s="10"/>
      <c r="M50" s="11">
        <f>SUM(Tabla13455[[#This Row],[TRIMESTRE  I]:[TRIMESTRE IV]])</f>
        <v>0</v>
      </c>
      <c r="N50" s="12" t="s">
        <v>19</v>
      </c>
      <c r="O50" s="13">
        <v>45690</v>
      </c>
      <c r="P50" s="8" t="s">
        <v>361</v>
      </c>
    </row>
    <row r="51" spans="1:16" ht="37.5" customHeight="1" x14ac:dyDescent="0.2">
      <c r="A51" s="3">
        <v>1300000</v>
      </c>
      <c r="B51" s="86" t="s">
        <v>359</v>
      </c>
      <c r="C51" s="5">
        <v>530</v>
      </c>
      <c r="D51" s="6" t="str">
        <f>IF(C51&lt;=0,"",VLOOKUP(C51,[7]FF!A:D,2,0))</f>
        <v>PARTICIPACIONES Ramo 28</v>
      </c>
      <c r="E51" s="5" t="s">
        <v>360</v>
      </c>
      <c r="F51" s="7" t="s">
        <v>22</v>
      </c>
      <c r="G51" s="8">
        <v>353001</v>
      </c>
      <c r="H51" s="9" t="str">
        <f>IF(G51&lt;=0,"",VLOOKUP(G51,[7]COG!A:H,2,0))</f>
        <v>Instalación, reparación y mantenimiento de equipo de cómputo y tecnología  de la información</v>
      </c>
      <c r="I51" s="10">
        <v>0</v>
      </c>
      <c r="J51" s="10">
        <v>0</v>
      </c>
      <c r="K51" s="10">
        <v>0</v>
      </c>
      <c r="L51" s="10"/>
      <c r="M51" s="11">
        <f>SUM(Tabla13455[[#This Row],[TRIMESTRE  I]:[TRIMESTRE IV]])</f>
        <v>0</v>
      </c>
      <c r="N51" s="12" t="s">
        <v>19</v>
      </c>
      <c r="O51" s="13">
        <v>45690</v>
      </c>
      <c r="P51" s="8" t="s">
        <v>361</v>
      </c>
    </row>
    <row r="52" spans="1:16" ht="37.5" customHeight="1" x14ac:dyDescent="0.2">
      <c r="A52" s="3">
        <v>1300000</v>
      </c>
      <c r="B52" s="86" t="s">
        <v>359</v>
      </c>
      <c r="C52" s="5">
        <v>530</v>
      </c>
      <c r="D52" s="6" t="str">
        <f>IF(C52&lt;=0,"",VLOOKUP(C52,[7]FF!A:D,2,0))</f>
        <v>PARTICIPACIONES Ramo 28</v>
      </c>
      <c r="E52" s="5" t="s">
        <v>360</v>
      </c>
      <c r="F52" s="7" t="s">
        <v>22</v>
      </c>
      <c r="G52" s="8">
        <v>355001</v>
      </c>
      <c r="H52" s="9" t="str">
        <f>IF(G52&lt;=0,"",VLOOKUP(G52,[7]COG!A:H,2,0))</f>
        <v>Mantto. y conservación de vehículos terrestres, aéreos, marítimos, lacustres y fluviales</v>
      </c>
      <c r="I52" s="10">
        <v>0</v>
      </c>
      <c r="J52" s="10">
        <v>0</v>
      </c>
      <c r="K52" s="10">
        <f>63571.48+26963.38+22968</f>
        <v>113502.86</v>
      </c>
      <c r="L52" s="10"/>
      <c r="M52" s="11">
        <f>SUM(Tabla13455[[#This Row],[TRIMESTRE  I]:[TRIMESTRE IV]])</f>
        <v>113502.86</v>
      </c>
      <c r="N52" s="12" t="s">
        <v>19</v>
      </c>
      <c r="O52" s="13">
        <v>45690</v>
      </c>
      <c r="P52" s="8" t="s">
        <v>361</v>
      </c>
    </row>
    <row r="53" spans="1:16" ht="37.5" customHeight="1" x14ac:dyDescent="0.2">
      <c r="A53" s="3">
        <v>1300000</v>
      </c>
      <c r="B53" s="86" t="s">
        <v>359</v>
      </c>
      <c r="C53" s="5">
        <v>530</v>
      </c>
      <c r="D53" s="6" t="str">
        <f>IF(C53&lt;=0,"",VLOOKUP(C53,[7]FF!A:D,2,0))</f>
        <v>PARTICIPACIONES Ramo 28</v>
      </c>
      <c r="E53" s="5" t="s">
        <v>360</v>
      </c>
      <c r="F53" s="7" t="s">
        <v>22</v>
      </c>
      <c r="G53" s="8">
        <v>358001</v>
      </c>
      <c r="H53" s="9" t="str">
        <f>IF(G53&lt;=0,"",VLOOKUP(G53,[7]COG!A:H,2,0))</f>
        <v>Servicios de higiene y limpieza</v>
      </c>
      <c r="I53" s="10">
        <v>0</v>
      </c>
      <c r="J53" s="10">
        <f>56898</f>
        <v>56898</v>
      </c>
      <c r="K53" s="10">
        <f>56898</f>
        <v>56898</v>
      </c>
      <c r="L53" s="10"/>
      <c r="M53" s="11">
        <f>SUM(Tabla13455[[#This Row],[TRIMESTRE  I]:[TRIMESTRE IV]])</f>
        <v>113796</v>
      </c>
      <c r="N53" s="12" t="s">
        <v>30</v>
      </c>
      <c r="O53" s="13">
        <v>45690</v>
      </c>
      <c r="P53" s="73" t="s">
        <v>275</v>
      </c>
    </row>
    <row r="54" spans="1:16" ht="37.5" customHeight="1" x14ac:dyDescent="0.2">
      <c r="A54" s="3">
        <v>1300000</v>
      </c>
      <c r="B54" s="86" t="s">
        <v>359</v>
      </c>
      <c r="C54" s="5">
        <v>530</v>
      </c>
      <c r="D54" s="6" t="str">
        <f>IF(C54&lt;=0,"",VLOOKUP(C54,[7]FF!A:D,2,0))</f>
        <v>PARTICIPACIONES Ramo 28</v>
      </c>
      <c r="E54" s="5" t="s">
        <v>360</v>
      </c>
      <c r="F54" s="7" t="s">
        <v>22</v>
      </c>
      <c r="G54" s="8">
        <v>358002</v>
      </c>
      <c r="H54" s="9" t="str">
        <f>IF(G54&lt;=0,"",VLOOKUP(G54,[7]COG!A:H,2,0))</f>
        <v>Servicios de Limpieza y Lavado de Vehículos</v>
      </c>
      <c r="I54" s="10">
        <v>1287.5999999999999</v>
      </c>
      <c r="J54" s="10">
        <f>20764</f>
        <v>20764</v>
      </c>
      <c r="K54" s="10">
        <f>7477</f>
        <v>7477</v>
      </c>
      <c r="L54" s="10"/>
      <c r="M54" s="11">
        <f>SUM(Tabla13455[[#This Row],[TRIMESTRE  I]:[TRIMESTRE IV]])</f>
        <v>29528.6</v>
      </c>
      <c r="N54" s="12" t="s">
        <v>19</v>
      </c>
      <c r="O54" s="13">
        <v>45690</v>
      </c>
      <c r="P54" s="45" t="s">
        <v>361</v>
      </c>
    </row>
    <row r="55" spans="1:16" ht="37.5" customHeight="1" x14ac:dyDescent="0.2">
      <c r="A55" s="3">
        <v>1300000</v>
      </c>
      <c r="B55" s="86" t="s">
        <v>359</v>
      </c>
      <c r="C55" s="5">
        <v>530</v>
      </c>
      <c r="D55" s="6" t="str">
        <f>IF(C55&lt;=0,"",VLOOKUP(C55,[7]FF!A:D,2,0))</f>
        <v>PARTICIPACIONES Ramo 28</v>
      </c>
      <c r="E55" s="5" t="s">
        <v>360</v>
      </c>
      <c r="F55" s="7" t="s">
        <v>22</v>
      </c>
      <c r="G55" s="8">
        <v>359001</v>
      </c>
      <c r="H55" s="9" t="str">
        <f>IF(G55&lt;=0,"",VLOOKUP(G55,[7]COG!A:H,2,0))</f>
        <v>Árboles, plantas, semillas y abonos</v>
      </c>
      <c r="I55" s="10">
        <v>0</v>
      </c>
      <c r="J55" s="10">
        <v>1170</v>
      </c>
      <c r="K55" s="10">
        <v>0</v>
      </c>
      <c r="L55" s="10">
        <v>0</v>
      </c>
      <c r="M55" s="11">
        <f>SUM(Tabla13455[[#This Row],[TRIMESTRE  I]:[TRIMESTRE IV]])</f>
        <v>1170</v>
      </c>
      <c r="N55" s="12"/>
      <c r="O55" s="13"/>
      <c r="P55" s="45"/>
    </row>
    <row r="56" spans="1:16" ht="37.5" customHeight="1" x14ac:dyDescent="0.2">
      <c r="A56" s="3">
        <v>1300000</v>
      </c>
      <c r="B56" s="86" t="s">
        <v>359</v>
      </c>
      <c r="C56" s="5">
        <v>530</v>
      </c>
      <c r="D56" s="6" t="str">
        <f>IF(C56&lt;=0,"",VLOOKUP(C56,[7]FF!A:D,2,0))</f>
        <v>PARTICIPACIONES Ramo 28</v>
      </c>
      <c r="E56" s="5" t="s">
        <v>360</v>
      </c>
      <c r="F56" s="7" t="s">
        <v>22</v>
      </c>
      <c r="G56" s="8">
        <v>361001</v>
      </c>
      <c r="H56" s="9" t="str">
        <f>IF(G56&lt;=0,"",VLOOKUP(G56,[7]COG!A:H,2,0))</f>
        <v>Gastos de difusión</v>
      </c>
      <c r="I56" s="10">
        <v>0</v>
      </c>
      <c r="J56" s="10">
        <v>0</v>
      </c>
      <c r="K56" s="10">
        <v>0</v>
      </c>
      <c r="L56" s="10"/>
      <c r="M56" s="11">
        <f>SUM(Tabla13455[[#This Row],[TRIMESTRE  I]:[TRIMESTRE IV]])</f>
        <v>0</v>
      </c>
      <c r="N56" s="12" t="s">
        <v>19</v>
      </c>
      <c r="O56" s="13">
        <v>45690</v>
      </c>
      <c r="P56" s="45" t="s">
        <v>361</v>
      </c>
    </row>
    <row r="57" spans="1:16" ht="37.5" customHeight="1" x14ac:dyDescent="0.2">
      <c r="A57" s="3">
        <v>1300000</v>
      </c>
      <c r="B57" s="86" t="s">
        <v>359</v>
      </c>
      <c r="C57" s="5">
        <v>530</v>
      </c>
      <c r="D57" s="6" t="str">
        <f>IF(C57&lt;=0,"",VLOOKUP(C57,[7]FF!A:D,2,0))</f>
        <v>PARTICIPACIONES Ramo 28</v>
      </c>
      <c r="E57" s="5" t="s">
        <v>360</v>
      </c>
      <c r="F57" s="7" t="s">
        <v>22</v>
      </c>
      <c r="G57" s="8">
        <v>361002</v>
      </c>
      <c r="H57" s="9" t="str">
        <f>IF(G57&lt;=0,"",VLOOKUP(G57,[7]COG!A:H,2,0))</f>
        <v>Impresiones y publicaciones oficiales</v>
      </c>
      <c r="I57" s="10">
        <v>0</v>
      </c>
      <c r="J57" s="10">
        <v>0</v>
      </c>
      <c r="K57" s="10">
        <v>0</v>
      </c>
      <c r="L57" s="10"/>
      <c r="M57" s="11">
        <f>SUM(Tabla13455[[#This Row],[TRIMESTRE  I]:[TRIMESTRE IV]])</f>
        <v>0</v>
      </c>
      <c r="N57" s="12" t="s">
        <v>19</v>
      </c>
      <c r="O57" s="13">
        <v>45690</v>
      </c>
      <c r="P57" s="8" t="s">
        <v>361</v>
      </c>
    </row>
    <row r="58" spans="1:16" ht="37.5" customHeight="1" x14ac:dyDescent="0.2">
      <c r="A58" s="3">
        <v>1300000</v>
      </c>
      <c r="B58" s="86" t="s">
        <v>359</v>
      </c>
      <c r="C58" s="5">
        <v>530</v>
      </c>
      <c r="D58" s="6" t="str">
        <f>IF(C58&lt;=0,"",VLOOKUP(C58,[7]FF!A:D,2,0))</f>
        <v>PARTICIPACIONES Ramo 28</v>
      </c>
      <c r="E58" s="5" t="s">
        <v>360</v>
      </c>
      <c r="F58" s="7" t="s">
        <v>22</v>
      </c>
      <c r="G58" s="8">
        <v>361003</v>
      </c>
      <c r="H58" s="9" t="str">
        <f>IF(G58&lt;=0,"",VLOOKUP(G58,[7]COG!A:H,2,0))</f>
        <v>Rotulaciones oficiales</v>
      </c>
      <c r="I58" s="10">
        <v>0</v>
      </c>
      <c r="J58" s="10">
        <v>0</v>
      </c>
      <c r="K58" s="10">
        <v>0</v>
      </c>
      <c r="L58" s="10"/>
      <c r="M58" s="11">
        <f>SUM(Tabla13455[[#This Row],[TRIMESTRE  I]:[TRIMESTRE IV]])</f>
        <v>0</v>
      </c>
      <c r="N58" s="12" t="s">
        <v>19</v>
      </c>
      <c r="O58" s="13">
        <v>45690</v>
      </c>
      <c r="P58" s="8" t="s">
        <v>361</v>
      </c>
    </row>
    <row r="59" spans="1:16" ht="37.5" customHeight="1" x14ac:dyDescent="0.2">
      <c r="A59" s="3">
        <v>1300000</v>
      </c>
      <c r="B59" s="86" t="s">
        <v>359</v>
      </c>
      <c r="C59" s="5">
        <v>530</v>
      </c>
      <c r="D59" s="6" t="str">
        <f>IF(C59&lt;=0,"",VLOOKUP(C59,[7]FF!A:D,2,0))</f>
        <v>PARTICIPACIONES Ramo 28</v>
      </c>
      <c r="E59" s="5" t="s">
        <v>360</v>
      </c>
      <c r="F59" s="7" t="s">
        <v>22</v>
      </c>
      <c r="G59" s="8">
        <v>371001</v>
      </c>
      <c r="H59" s="9" t="str">
        <f>IF(G59&lt;=0,"",VLOOKUP(G59,[7]COG!A:H,2,0))</f>
        <v>Pasajes aéreos</v>
      </c>
      <c r="I59" s="10">
        <v>0</v>
      </c>
      <c r="J59" s="10">
        <f>272637.51+23448+20610</f>
        <v>316695.51</v>
      </c>
      <c r="K59" s="10">
        <f>55952</f>
        <v>55952</v>
      </c>
      <c r="L59" s="10"/>
      <c r="M59" s="11">
        <f>SUM(Tabla13455[[#This Row],[TRIMESTRE  I]:[TRIMESTRE IV]])</f>
        <v>372647.51</v>
      </c>
      <c r="N59" s="12" t="s">
        <v>17</v>
      </c>
      <c r="O59" s="13">
        <v>45690</v>
      </c>
      <c r="P59" s="8" t="s">
        <v>364</v>
      </c>
    </row>
    <row r="60" spans="1:16" ht="37.5" customHeight="1" x14ac:dyDescent="0.2">
      <c r="A60" s="3">
        <v>1300000</v>
      </c>
      <c r="B60" s="86" t="s">
        <v>359</v>
      </c>
      <c r="C60" s="5">
        <v>530</v>
      </c>
      <c r="D60" s="6" t="str">
        <f>IF(C60&lt;=0,"",VLOOKUP(C60,[7]FF!A:D,2,0))</f>
        <v>PARTICIPACIONES Ramo 28</v>
      </c>
      <c r="E60" s="5" t="s">
        <v>360</v>
      </c>
      <c r="F60" s="7" t="s">
        <v>22</v>
      </c>
      <c r="G60" s="8">
        <v>372001</v>
      </c>
      <c r="H60" s="9" t="str">
        <f>IF(G60&lt;=0,"",VLOOKUP(G60,[7]COG!A:H,2,0))</f>
        <v>Pasajes terrestres</v>
      </c>
      <c r="I60" s="10">
        <v>0</v>
      </c>
      <c r="J60" s="10">
        <v>0</v>
      </c>
      <c r="K60" s="10">
        <v>0</v>
      </c>
      <c r="L60" s="10"/>
      <c r="M60" s="11">
        <f>SUM(Tabla13455[[#This Row],[TRIMESTRE  I]:[TRIMESTRE IV]])</f>
        <v>0</v>
      </c>
      <c r="N60" s="12" t="s">
        <v>19</v>
      </c>
      <c r="O60" s="13">
        <v>45690</v>
      </c>
      <c r="P60" s="8" t="s">
        <v>361</v>
      </c>
    </row>
    <row r="61" spans="1:16" ht="37.5" customHeight="1" x14ac:dyDescent="0.2">
      <c r="A61" s="3">
        <v>1300000</v>
      </c>
      <c r="B61" s="86" t="s">
        <v>359</v>
      </c>
      <c r="C61" s="5">
        <v>530</v>
      </c>
      <c r="D61" s="6" t="str">
        <f>IF(C61&lt;=0,"",VLOOKUP(C61,[7]FF!A:D,2,0))</f>
        <v>PARTICIPACIONES Ramo 28</v>
      </c>
      <c r="E61" s="5" t="s">
        <v>360</v>
      </c>
      <c r="F61" s="7" t="s">
        <v>22</v>
      </c>
      <c r="G61" s="8">
        <v>375001</v>
      </c>
      <c r="H61" s="9" t="str">
        <f>IF(G61&lt;=0,"",VLOOKUP(G61,[7]COG!A:H,2,0))</f>
        <v>Viáticos</v>
      </c>
      <c r="I61" s="10">
        <f>133986.45+1770.44+35418.64</f>
        <v>171175.53000000003</v>
      </c>
      <c r="J61" s="10">
        <f>108286.07+2655.68+10882.45+26768.44+44165.04</f>
        <v>192757.68</v>
      </c>
      <c r="K61" s="10">
        <f>77678.45+8688.68+9333.31+12710.68+9997.28</f>
        <v>118408.4</v>
      </c>
      <c r="L61" s="10"/>
      <c r="M61" s="11">
        <f>SUM(Tabla13455[[#This Row],[TRIMESTRE  I]:[TRIMESTRE IV]])</f>
        <v>482341.61</v>
      </c>
      <c r="N61" s="12"/>
      <c r="O61" s="13"/>
      <c r="P61" s="8" t="s">
        <v>361</v>
      </c>
    </row>
    <row r="62" spans="1:16" ht="37.5" customHeight="1" x14ac:dyDescent="0.2">
      <c r="A62" s="3">
        <v>1300000</v>
      </c>
      <c r="B62" s="86" t="s">
        <v>359</v>
      </c>
      <c r="C62" s="5">
        <v>530</v>
      </c>
      <c r="D62" s="6" t="str">
        <f>IF(C62&lt;=0,"",VLOOKUP(C62,[7]FF!A:D,2,0))</f>
        <v>PARTICIPACIONES Ramo 28</v>
      </c>
      <c r="E62" s="5" t="s">
        <v>360</v>
      </c>
      <c r="F62" s="7" t="s">
        <v>22</v>
      </c>
      <c r="G62" s="8">
        <v>376001</v>
      </c>
      <c r="H62" s="9" t="str">
        <f>IF(G62&lt;=0,"",VLOOKUP(G62,[7]COG!A:H,2,0))</f>
        <v>Viáticos en el extranjero</v>
      </c>
      <c r="I62" s="10">
        <v>181654.2</v>
      </c>
      <c r="J62" s="10">
        <v>83325.06</v>
      </c>
      <c r="K62" s="10">
        <f>80028</f>
        <v>80028</v>
      </c>
      <c r="L62" s="10"/>
      <c r="M62" s="11">
        <f>SUM(Tabla13455[[#This Row],[TRIMESTRE  I]:[TRIMESTRE IV]])</f>
        <v>345007.26</v>
      </c>
      <c r="N62" s="12"/>
      <c r="O62" s="13"/>
      <c r="P62" s="8" t="s">
        <v>361</v>
      </c>
    </row>
    <row r="63" spans="1:16" ht="37.5" customHeight="1" x14ac:dyDescent="0.2">
      <c r="A63" s="3">
        <v>1300000</v>
      </c>
      <c r="B63" s="86" t="s">
        <v>359</v>
      </c>
      <c r="C63" s="5">
        <v>530</v>
      </c>
      <c r="D63" s="6" t="str">
        <f>IF(C63&lt;=0,"",VLOOKUP(C63,[7]FF!A:D,2,0))</f>
        <v>PARTICIPACIONES Ramo 28</v>
      </c>
      <c r="E63" s="5" t="s">
        <v>360</v>
      </c>
      <c r="F63" s="7" t="s">
        <v>22</v>
      </c>
      <c r="G63" s="8">
        <v>379003</v>
      </c>
      <c r="H63" s="9" t="str">
        <f>IF(G63&lt;=0,"",VLOOKUP(G63,[7]COG!A:H,2,0))</f>
        <v>Hospedaje de personas</v>
      </c>
      <c r="I63" s="10">
        <v>0</v>
      </c>
      <c r="J63" s="10">
        <v>7352.08</v>
      </c>
      <c r="K63" s="10">
        <f>28966.53</f>
        <v>28966.53</v>
      </c>
      <c r="L63" s="10"/>
      <c r="M63" s="11">
        <f>SUM(Tabla13455[[#This Row],[TRIMESTRE  I]:[TRIMESTRE IV]])</f>
        <v>36318.61</v>
      </c>
      <c r="N63" s="12"/>
      <c r="O63" s="13"/>
      <c r="P63" s="8" t="s">
        <v>361</v>
      </c>
    </row>
    <row r="64" spans="1:16" ht="37.5" customHeight="1" x14ac:dyDescent="0.2">
      <c r="A64" s="3">
        <v>1300000</v>
      </c>
      <c r="B64" s="86" t="s">
        <v>359</v>
      </c>
      <c r="C64" s="5">
        <v>530</v>
      </c>
      <c r="D64" s="6" t="str">
        <f>IF(C64&lt;=0,"",VLOOKUP(C64,[7]FF!A:D,2,0))</f>
        <v>PARTICIPACIONES Ramo 28</v>
      </c>
      <c r="E64" s="5" t="s">
        <v>360</v>
      </c>
      <c r="F64" s="7" t="s">
        <v>22</v>
      </c>
      <c r="G64" s="8">
        <v>382002</v>
      </c>
      <c r="H64" s="9" t="str">
        <f>IF(G64&lt;=0,"",VLOOKUP(G64,[7]COG!A:H,2,0))</f>
        <v>Gastos de recepción, conmemorativos y de orden social</v>
      </c>
      <c r="I64" s="10">
        <v>600.02</v>
      </c>
      <c r="J64" s="10">
        <f>240</f>
        <v>240</v>
      </c>
      <c r="K64" s="10">
        <f>1900</f>
        <v>1900</v>
      </c>
      <c r="L64" s="10"/>
      <c r="M64" s="11">
        <f>SUM(Tabla13455[[#This Row],[TRIMESTRE  I]:[TRIMESTRE IV]])</f>
        <v>2740.02</v>
      </c>
      <c r="N64" s="12" t="s">
        <v>19</v>
      </c>
      <c r="O64" s="13">
        <v>45690</v>
      </c>
      <c r="P64" s="8" t="s">
        <v>361</v>
      </c>
    </row>
    <row r="65" spans="1:16" ht="37.5" customHeight="1" x14ac:dyDescent="0.2">
      <c r="A65" s="3">
        <v>1300000</v>
      </c>
      <c r="B65" s="86" t="s">
        <v>359</v>
      </c>
      <c r="C65" s="5">
        <v>530</v>
      </c>
      <c r="D65" s="6" t="str">
        <f>IF(C65&lt;=0,"",VLOOKUP(C65,[7]FF!A:D,2,0))</f>
        <v>PARTICIPACIONES Ramo 28</v>
      </c>
      <c r="E65" s="5" t="s">
        <v>360</v>
      </c>
      <c r="F65" s="7" t="s">
        <v>22</v>
      </c>
      <c r="G65" s="8">
        <v>382004</v>
      </c>
      <c r="H65" s="9" t="str">
        <f>IF(G65&lt;=0,"",VLOOKUP(G65,[7]COG!A:H,2,0))</f>
        <v>Festividades y Eventos</v>
      </c>
      <c r="I65" s="10">
        <v>11080.52</v>
      </c>
      <c r="J65" s="10">
        <v>430</v>
      </c>
      <c r="K65" s="10">
        <f>7151.5+2767</f>
        <v>9918.5</v>
      </c>
      <c r="L65" s="10"/>
      <c r="M65" s="11">
        <f>SUM(Tabla13455[[#This Row],[TRIMESTRE  I]:[TRIMESTRE IV]])</f>
        <v>21429.02</v>
      </c>
      <c r="N65" s="12" t="s">
        <v>19</v>
      </c>
      <c r="O65" s="13">
        <v>45690</v>
      </c>
      <c r="P65" s="8" t="s">
        <v>361</v>
      </c>
    </row>
    <row r="66" spans="1:16" ht="37.5" customHeight="1" x14ac:dyDescent="0.2">
      <c r="A66" s="3">
        <v>1300000</v>
      </c>
      <c r="B66" s="86" t="s">
        <v>359</v>
      </c>
      <c r="C66" s="5">
        <v>530</v>
      </c>
      <c r="D66" s="6" t="str">
        <f>IF(C66&lt;=0,"",VLOOKUP(C66,[7]FF!A:D,2,0))</f>
        <v>PARTICIPACIONES Ramo 28</v>
      </c>
      <c r="E66" s="5" t="s">
        <v>360</v>
      </c>
      <c r="F66" s="7" t="s">
        <v>22</v>
      </c>
      <c r="G66" s="8">
        <v>383001</v>
      </c>
      <c r="H66" s="9" t="str">
        <f>IF(G66&lt;=0,"",VLOOKUP(G66,[7]COG!A:H,2,0))</f>
        <v>Congresos y convenciones</v>
      </c>
      <c r="I66" s="10">
        <v>0</v>
      </c>
      <c r="J66" s="10">
        <v>0</v>
      </c>
      <c r="K66" s="10">
        <v>0</v>
      </c>
      <c r="L66" s="10"/>
      <c r="M66" s="11">
        <f>SUM(Tabla13455[[#This Row],[TRIMESTRE  I]:[TRIMESTRE IV]])</f>
        <v>0</v>
      </c>
      <c r="N66" s="12" t="s">
        <v>19</v>
      </c>
      <c r="O66" s="13">
        <v>45690</v>
      </c>
      <c r="P66" s="8" t="s">
        <v>361</v>
      </c>
    </row>
    <row r="67" spans="1:16" ht="37.5" customHeight="1" x14ac:dyDescent="0.2">
      <c r="A67" s="3">
        <v>1300000</v>
      </c>
      <c r="B67" s="86" t="s">
        <v>359</v>
      </c>
      <c r="C67" s="5">
        <v>530</v>
      </c>
      <c r="D67" s="6" t="str">
        <f>IF(C67&lt;=0,"",VLOOKUP(C67,[7]FF!A:D,2,0))</f>
        <v>PARTICIPACIONES Ramo 28</v>
      </c>
      <c r="E67" s="5" t="s">
        <v>360</v>
      </c>
      <c r="F67" s="7" t="s">
        <v>22</v>
      </c>
      <c r="G67" s="8">
        <v>384001</v>
      </c>
      <c r="H67" s="9" t="str">
        <f>IF(G67&lt;=0,"",VLOOKUP(G67,[7]COG!A:H,2,0))</f>
        <v>Exposiciones</v>
      </c>
      <c r="I67" s="10">
        <v>0</v>
      </c>
      <c r="J67" s="10">
        <v>0</v>
      </c>
      <c r="K67" s="10">
        <v>0</v>
      </c>
      <c r="L67" s="10"/>
      <c r="M67" s="11">
        <f>SUM(Tabla13455[[#This Row],[TRIMESTRE  I]:[TRIMESTRE IV]])</f>
        <v>0</v>
      </c>
      <c r="N67" s="12" t="s">
        <v>19</v>
      </c>
      <c r="O67" s="13">
        <v>45690</v>
      </c>
      <c r="P67" s="8" t="s">
        <v>361</v>
      </c>
    </row>
    <row r="68" spans="1:16" ht="37.5" customHeight="1" x14ac:dyDescent="0.2">
      <c r="A68" s="3">
        <v>1300000</v>
      </c>
      <c r="B68" s="86" t="s">
        <v>359</v>
      </c>
      <c r="C68" s="5">
        <v>530</v>
      </c>
      <c r="D68" s="6" t="str">
        <f>IF(C68&lt;=0,"",VLOOKUP(C68,[7]FF!A:D,2,0))</f>
        <v>PARTICIPACIONES Ramo 28</v>
      </c>
      <c r="E68" s="5" t="s">
        <v>360</v>
      </c>
      <c r="F68" s="7" t="s">
        <v>22</v>
      </c>
      <c r="G68" s="8">
        <v>385001</v>
      </c>
      <c r="H68" s="9" t="str">
        <f>IF(G68&lt;=0,"",VLOOKUP(G68,[7]COG!A:H,2,0))</f>
        <v>Gastos de representación</v>
      </c>
      <c r="I68" s="10">
        <v>0</v>
      </c>
      <c r="J68" s="10">
        <v>2651.8</v>
      </c>
      <c r="K68" s="10">
        <f>26549.95</f>
        <v>26549.95</v>
      </c>
      <c r="L68" s="10"/>
      <c r="M68" s="11">
        <f>SUM(Tabla13455[[#This Row],[TRIMESTRE  I]:[TRIMESTRE IV]])</f>
        <v>29201.75</v>
      </c>
      <c r="N68" s="12" t="s">
        <v>19</v>
      </c>
      <c r="O68" s="13">
        <v>45690</v>
      </c>
      <c r="P68" s="8" t="s">
        <v>361</v>
      </c>
    </row>
    <row r="69" spans="1:16" ht="37.5" customHeight="1" x14ac:dyDescent="0.2">
      <c r="A69" s="3">
        <v>1300000</v>
      </c>
      <c r="B69" s="86" t="s">
        <v>359</v>
      </c>
      <c r="C69" s="5">
        <v>530</v>
      </c>
      <c r="D69" s="6" t="str">
        <f>IF(C69&lt;=0,"",VLOOKUP(C69,[7]FF!A:D,2,0))</f>
        <v>PARTICIPACIONES Ramo 28</v>
      </c>
      <c r="E69" s="5" t="s">
        <v>360</v>
      </c>
      <c r="F69" s="7" t="s">
        <v>22</v>
      </c>
      <c r="G69" s="8">
        <v>392001</v>
      </c>
      <c r="H69" s="9" t="str">
        <f>IF(G69&lt;=0,"",VLOOKUP(G69,[7]COG!A:H,2,0))</f>
        <v>Impuestos y derechos</v>
      </c>
      <c r="I69" s="10">
        <v>190</v>
      </c>
      <c r="J69" s="10">
        <v>285</v>
      </c>
      <c r="K69" s="10">
        <v>0</v>
      </c>
      <c r="L69" s="10"/>
      <c r="M69" s="11">
        <f>SUM(Tabla13455[[#This Row],[TRIMESTRE  I]:[TRIMESTRE IV]])</f>
        <v>475</v>
      </c>
      <c r="N69" s="12" t="s">
        <v>19</v>
      </c>
      <c r="O69" s="13">
        <v>45690</v>
      </c>
      <c r="P69" s="8" t="s">
        <v>361</v>
      </c>
    </row>
    <row r="70" spans="1:16" ht="37.5" customHeight="1" x14ac:dyDescent="0.2">
      <c r="A70" s="3">
        <v>1300000</v>
      </c>
      <c r="B70" s="86" t="s">
        <v>359</v>
      </c>
      <c r="C70" s="5">
        <v>530</v>
      </c>
      <c r="D70" s="6" t="str">
        <f>IF(C70&lt;=0,"",VLOOKUP(C70,[7]FF!A:D,2,0))</f>
        <v>PARTICIPACIONES Ramo 28</v>
      </c>
      <c r="E70" s="5" t="s">
        <v>360</v>
      </c>
      <c r="F70" s="7" t="s">
        <v>22</v>
      </c>
      <c r="G70" s="8">
        <v>399001</v>
      </c>
      <c r="H70" s="9" t="str">
        <f>IF(G70&lt;=0,"",VLOOKUP(G70,[7]COG!A:H,2,0))</f>
        <v>Gastos menores</v>
      </c>
      <c r="I70" s="10">
        <v>556.79999999999995</v>
      </c>
      <c r="J70" s="10">
        <v>301.60000000000002</v>
      </c>
      <c r="K70" s="10">
        <f>100+116</f>
        <v>216</v>
      </c>
      <c r="L70" s="10">
        <v>0</v>
      </c>
      <c r="M70" s="11">
        <f>SUM(Tabla13455[[#This Row],[TRIMESTRE  I]:[TRIMESTRE IV]])</f>
        <v>1074.4000000000001</v>
      </c>
      <c r="N70" s="12" t="s">
        <v>19</v>
      </c>
      <c r="O70" s="13">
        <v>45690</v>
      </c>
      <c r="P70" s="8" t="s">
        <v>361</v>
      </c>
    </row>
    <row r="71" spans="1:16" ht="37.5" customHeight="1" x14ac:dyDescent="0.2">
      <c r="A71" s="3">
        <v>1300000</v>
      </c>
      <c r="B71" s="86" t="s">
        <v>365</v>
      </c>
      <c r="C71" s="5">
        <v>530</v>
      </c>
      <c r="D71" s="6" t="str">
        <f>IF(C71&lt;=0,"",VLOOKUP(C71,[7]FF!A:D,2,0))</f>
        <v>PARTICIPACIONES Ramo 28</v>
      </c>
      <c r="E71" s="5" t="s">
        <v>366</v>
      </c>
      <c r="F71" s="7" t="s">
        <v>15</v>
      </c>
      <c r="G71" s="8">
        <v>211001</v>
      </c>
      <c r="H71" s="9" t="str">
        <f>IF(G71&lt;=0,"",VLOOKUP(G71,[7]COG!A:H,2,0))</f>
        <v>Material de oficina</v>
      </c>
      <c r="I71" s="10">
        <v>0</v>
      </c>
      <c r="J71" s="10">
        <v>0</v>
      </c>
      <c r="K71" s="10">
        <v>0</v>
      </c>
      <c r="L71" s="10"/>
      <c r="M71" s="11">
        <f>SUM(Tabla13455[[#This Row],[TRIMESTRE  I]:[TRIMESTRE IV]])</f>
        <v>0</v>
      </c>
      <c r="N71" s="12" t="s">
        <v>17</v>
      </c>
      <c r="O71" s="13">
        <v>45690</v>
      </c>
      <c r="P71" s="8" t="s">
        <v>61</v>
      </c>
    </row>
    <row r="72" spans="1:16" ht="37.5" customHeight="1" x14ac:dyDescent="0.2">
      <c r="A72" s="3">
        <v>1300000</v>
      </c>
      <c r="B72" s="86" t="s">
        <v>365</v>
      </c>
      <c r="C72" s="5">
        <v>530</v>
      </c>
      <c r="D72" s="6" t="str">
        <f>IF(C72&lt;=0,"",VLOOKUP(C72,[7]FF!A:D,2,0))</f>
        <v>PARTICIPACIONES Ramo 28</v>
      </c>
      <c r="E72" s="5" t="s">
        <v>366</v>
      </c>
      <c r="F72" s="7" t="s">
        <v>15</v>
      </c>
      <c r="G72" s="8">
        <v>212001</v>
      </c>
      <c r="H72" s="9" t="str">
        <f>IF(G72&lt;=0,"",VLOOKUP(G72,[7]COG!A:H,2,0))</f>
        <v>Material y útiles de impresión</v>
      </c>
      <c r="I72" s="10">
        <v>0</v>
      </c>
      <c r="J72" s="10">
        <v>0</v>
      </c>
      <c r="K72" s="10">
        <v>0</v>
      </c>
      <c r="L72" s="10"/>
      <c r="M72" s="11">
        <f>SUM(Tabla13455[[#This Row],[TRIMESTRE  I]:[TRIMESTRE IV]])</f>
        <v>0</v>
      </c>
      <c r="N72" s="12" t="s">
        <v>19</v>
      </c>
      <c r="O72" s="13">
        <v>45690</v>
      </c>
      <c r="P72" s="8" t="s">
        <v>361</v>
      </c>
    </row>
    <row r="73" spans="1:16" ht="37.5" customHeight="1" x14ac:dyDescent="0.2">
      <c r="A73" s="3">
        <v>1300000</v>
      </c>
      <c r="B73" s="86" t="s">
        <v>365</v>
      </c>
      <c r="C73" s="5">
        <v>530</v>
      </c>
      <c r="D73" s="6" t="str">
        <f>IF(C73&lt;=0,"",VLOOKUP(C73,[7]FF!A:D,2,0))</f>
        <v>PARTICIPACIONES Ramo 28</v>
      </c>
      <c r="E73" s="5" t="s">
        <v>366</v>
      </c>
      <c r="F73" s="7" t="s">
        <v>15</v>
      </c>
      <c r="G73" s="8">
        <v>215001</v>
      </c>
      <c r="H73" s="9" t="str">
        <f>IF(G73&lt;=0,"",VLOOKUP(G73,[7]COG!A:H,2,0))</f>
        <v>Material didáctico</v>
      </c>
      <c r="I73" s="10">
        <v>0</v>
      </c>
      <c r="J73" s="10">
        <v>0</v>
      </c>
      <c r="K73" s="10">
        <v>0</v>
      </c>
      <c r="L73" s="10"/>
      <c r="M73" s="11">
        <f>SUM(Tabla13455[[#This Row],[TRIMESTRE  I]:[TRIMESTRE IV]])</f>
        <v>0</v>
      </c>
      <c r="N73" s="12" t="s">
        <v>19</v>
      </c>
      <c r="O73" s="13">
        <v>45690</v>
      </c>
      <c r="P73" s="8" t="s">
        <v>361</v>
      </c>
    </row>
    <row r="74" spans="1:16" ht="37.5" customHeight="1" x14ac:dyDescent="0.2">
      <c r="A74" s="3">
        <v>1300000</v>
      </c>
      <c r="B74" s="86" t="s">
        <v>365</v>
      </c>
      <c r="C74" s="5">
        <v>530</v>
      </c>
      <c r="D74" s="6" t="str">
        <f>IF(C74&lt;=0,"",VLOOKUP(C74,[7]FF!A:D,2,0))</f>
        <v>PARTICIPACIONES Ramo 28</v>
      </c>
      <c r="E74" s="5" t="s">
        <v>366</v>
      </c>
      <c r="F74" s="7" t="s">
        <v>15</v>
      </c>
      <c r="G74" s="8">
        <v>261001</v>
      </c>
      <c r="H74" s="9" t="str">
        <f>IF(G74&lt;=0,"",VLOOKUP(G74,[7]COG!A:H,2,0))</f>
        <v>Combustibles</v>
      </c>
      <c r="I74" s="10">
        <v>0</v>
      </c>
      <c r="J74" s="10">
        <v>0</v>
      </c>
      <c r="K74" s="10">
        <f>51541.76</f>
        <v>51541.760000000002</v>
      </c>
      <c r="L74" s="10"/>
      <c r="M74" s="11">
        <f>SUM(Tabla13455[[#This Row],[TRIMESTRE  I]:[TRIMESTRE IV]])</f>
        <v>51541.760000000002</v>
      </c>
      <c r="N74" s="12" t="s">
        <v>17</v>
      </c>
      <c r="O74" s="13">
        <v>45690</v>
      </c>
      <c r="P74" s="8" t="s">
        <v>61</v>
      </c>
    </row>
    <row r="75" spans="1:16" ht="37.5" customHeight="1" x14ac:dyDescent="0.2">
      <c r="A75" s="3">
        <v>1300000</v>
      </c>
      <c r="B75" s="86" t="s">
        <v>365</v>
      </c>
      <c r="C75" s="5">
        <v>530</v>
      </c>
      <c r="D75" s="6" t="str">
        <f>IF(C75&lt;=0,"",VLOOKUP(C75,[7]FF!A:D,2,0))</f>
        <v>PARTICIPACIONES Ramo 28</v>
      </c>
      <c r="E75" s="5" t="s">
        <v>366</v>
      </c>
      <c r="F75" s="7" t="s">
        <v>15</v>
      </c>
      <c r="G75" s="8">
        <v>271001</v>
      </c>
      <c r="H75" s="9" t="str">
        <f>IF(G75&lt;=0,"",VLOOKUP(G75,[7]COG!A:H,2,0))</f>
        <v>Ropa, vestuario y equipo</v>
      </c>
      <c r="I75" s="10">
        <v>0</v>
      </c>
      <c r="J75" s="10">
        <v>0</v>
      </c>
      <c r="K75" s="10">
        <v>0</v>
      </c>
      <c r="L75" s="10"/>
      <c r="M75" s="11">
        <f>SUM(Tabla13455[[#This Row],[TRIMESTRE  I]:[TRIMESTRE IV]])</f>
        <v>0</v>
      </c>
      <c r="N75" s="12" t="s">
        <v>17</v>
      </c>
      <c r="O75" s="13">
        <v>45690</v>
      </c>
      <c r="P75" s="8" t="s">
        <v>361</v>
      </c>
    </row>
    <row r="76" spans="1:16" ht="37.5" customHeight="1" x14ac:dyDescent="0.2">
      <c r="A76" s="3">
        <v>1300000</v>
      </c>
      <c r="B76" s="86" t="s">
        <v>365</v>
      </c>
      <c r="C76" s="5">
        <v>530</v>
      </c>
      <c r="D76" s="6" t="str">
        <f>IF(C76&lt;=0,"",VLOOKUP(C76,[7]FF!A:D,2,0))</f>
        <v>PARTICIPACIONES Ramo 28</v>
      </c>
      <c r="E76" s="5" t="s">
        <v>366</v>
      </c>
      <c r="F76" s="7" t="s">
        <v>15</v>
      </c>
      <c r="G76" s="8">
        <v>272002</v>
      </c>
      <c r="H76" s="9" t="str">
        <f>IF(G76&lt;=0,"",VLOOKUP(G76,[7]COG!A:H,2,0))</f>
        <v>Prendas de seguridad y protección personal</v>
      </c>
      <c r="I76" s="10">
        <v>0</v>
      </c>
      <c r="J76" s="10">
        <v>0</v>
      </c>
      <c r="K76" s="10">
        <v>0</v>
      </c>
      <c r="L76" s="10"/>
      <c r="M76" s="11">
        <f>SUM(Tabla13455[[#This Row],[TRIMESTRE  I]:[TRIMESTRE IV]])</f>
        <v>0</v>
      </c>
      <c r="N76" s="12" t="s">
        <v>19</v>
      </c>
      <c r="O76" s="13">
        <v>45690</v>
      </c>
      <c r="P76" s="8" t="s">
        <v>361</v>
      </c>
    </row>
    <row r="77" spans="1:16" ht="37.5" customHeight="1" x14ac:dyDescent="0.2">
      <c r="A77" s="3">
        <v>1300000</v>
      </c>
      <c r="B77" s="86" t="s">
        <v>365</v>
      </c>
      <c r="C77" s="5">
        <v>530</v>
      </c>
      <c r="D77" s="6" t="str">
        <f>IF(C77&lt;=0,"",VLOOKUP(C77,[7]FF!A:D,2,0))</f>
        <v>PARTICIPACIONES Ramo 28</v>
      </c>
      <c r="E77" s="5" t="s">
        <v>366</v>
      </c>
      <c r="F77" s="7" t="s">
        <v>22</v>
      </c>
      <c r="G77" s="8">
        <v>311001</v>
      </c>
      <c r="H77" s="9" t="str">
        <f>IF(G77&lt;=0,"",VLOOKUP(G77,[7]COG!A:H,2,0))</f>
        <v>Servicio de energía eléctrica</v>
      </c>
      <c r="I77" s="59">
        <v>238737</v>
      </c>
      <c r="J77" s="10">
        <v>280811</v>
      </c>
      <c r="K77" s="10">
        <v>425711</v>
      </c>
      <c r="L77" s="10">
        <v>0</v>
      </c>
      <c r="M77" s="11">
        <f>SUM(Tabla13455[[#This Row],[TRIMESTRE  I]:[TRIMESTRE IV]])</f>
        <v>945259</v>
      </c>
      <c r="N77" s="12" t="s">
        <v>19</v>
      </c>
      <c r="O77" s="13">
        <v>45690</v>
      </c>
      <c r="P77" s="8" t="s">
        <v>361</v>
      </c>
    </row>
    <row r="78" spans="1:16" ht="37.5" customHeight="1" x14ac:dyDescent="0.2">
      <c r="A78" s="3">
        <v>1300000</v>
      </c>
      <c r="B78" s="86" t="s">
        <v>365</v>
      </c>
      <c r="C78" s="5">
        <v>530</v>
      </c>
      <c r="D78" s="6" t="str">
        <f>IF(C78&lt;=0,"",VLOOKUP(C78,[7]FF!A:D,2,0))</f>
        <v>PARTICIPACIONES Ramo 28</v>
      </c>
      <c r="E78" s="5" t="s">
        <v>366</v>
      </c>
      <c r="F78" s="7" t="s">
        <v>22</v>
      </c>
      <c r="G78" s="8">
        <v>347001</v>
      </c>
      <c r="H78" s="9" t="str">
        <f>IF(G78&lt;=0,"",VLOOKUP(G78,[7]COG!A:H,2,0))</f>
        <v>Fletes, maniobras y almacenaje</v>
      </c>
      <c r="I78" s="10">
        <v>0</v>
      </c>
      <c r="J78" s="10">
        <v>0</v>
      </c>
      <c r="K78" s="10">
        <v>0</v>
      </c>
      <c r="L78" s="10"/>
      <c r="M78" s="11">
        <f>SUM(Tabla13455[[#This Row],[TRIMESTRE  I]:[TRIMESTRE IV]])</f>
        <v>0</v>
      </c>
      <c r="N78" s="12" t="s">
        <v>19</v>
      </c>
      <c r="O78" s="13">
        <v>45690</v>
      </c>
      <c r="P78" s="8" t="s">
        <v>361</v>
      </c>
    </row>
    <row r="79" spans="1:16" ht="37.5" customHeight="1" x14ac:dyDescent="0.2">
      <c r="A79" s="3">
        <v>1300000</v>
      </c>
      <c r="B79" s="86" t="s">
        <v>365</v>
      </c>
      <c r="C79" s="5">
        <v>530</v>
      </c>
      <c r="D79" s="6" t="str">
        <f>IF(C79&lt;=0,"",VLOOKUP(C79,[7]FF!A:D,2,0))</f>
        <v>PARTICIPACIONES Ramo 28</v>
      </c>
      <c r="E79" s="5" t="s">
        <v>366</v>
      </c>
      <c r="F79" s="7" t="s">
        <v>22</v>
      </c>
      <c r="G79" s="8">
        <v>355001</v>
      </c>
      <c r="H79" s="9" t="str">
        <f>IF(G79&lt;=0,"",VLOOKUP(G79,[7]COG!A:H,2,0))</f>
        <v>Mantto. y conservación de vehículos terrestres, aéreos, marítimos, lacustres y fluviales</v>
      </c>
      <c r="I79" s="10">
        <v>0</v>
      </c>
      <c r="J79" s="10">
        <v>0</v>
      </c>
      <c r="K79" s="10">
        <v>0</v>
      </c>
      <c r="L79" s="10"/>
      <c r="M79" s="11">
        <f>SUM(Tabla13455[[#This Row],[TRIMESTRE  I]:[TRIMESTRE IV]])</f>
        <v>0</v>
      </c>
      <c r="N79" s="12" t="s">
        <v>19</v>
      </c>
      <c r="O79" s="13">
        <v>45690</v>
      </c>
      <c r="P79" s="8" t="s">
        <v>361</v>
      </c>
    </row>
    <row r="80" spans="1:16" ht="37.5" customHeight="1" x14ac:dyDescent="0.2">
      <c r="A80" s="3">
        <v>1300000</v>
      </c>
      <c r="B80" s="86" t="s">
        <v>365</v>
      </c>
      <c r="C80" s="5">
        <v>530</v>
      </c>
      <c r="D80" s="6" t="str">
        <f>IF(C80&lt;=0,"",VLOOKUP(C80,[7]FF!A:D,2,0))</f>
        <v>PARTICIPACIONES Ramo 28</v>
      </c>
      <c r="E80" s="5" t="s">
        <v>366</v>
      </c>
      <c r="F80" s="7" t="s">
        <v>22</v>
      </c>
      <c r="G80" s="8">
        <v>371001</v>
      </c>
      <c r="H80" s="9" t="str">
        <f>IF(G80&lt;=0,"",VLOOKUP(G80,[7]COG!A:H,2,0))</f>
        <v>Pasajes aéreos</v>
      </c>
      <c r="I80" s="10">
        <v>0</v>
      </c>
      <c r="J80" s="10">
        <v>0</v>
      </c>
      <c r="K80" s="10">
        <v>0</v>
      </c>
      <c r="L80" s="10"/>
      <c r="M80" s="11">
        <f>SUM(Tabla13455[[#This Row],[TRIMESTRE  I]:[TRIMESTRE IV]])</f>
        <v>0</v>
      </c>
      <c r="N80" s="12" t="s">
        <v>17</v>
      </c>
      <c r="O80" s="13">
        <v>45690</v>
      </c>
      <c r="P80" s="8" t="s">
        <v>364</v>
      </c>
    </row>
    <row r="81" spans="1:16" ht="37.5" customHeight="1" x14ac:dyDescent="0.2">
      <c r="A81" s="3">
        <v>1300000</v>
      </c>
      <c r="B81" s="86" t="s">
        <v>365</v>
      </c>
      <c r="C81" s="5">
        <v>530</v>
      </c>
      <c r="D81" s="6" t="str">
        <f>IF(C81&lt;=0,"",VLOOKUP(C81,[7]FF!A:D,2,0))</f>
        <v>PARTICIPACIONES Ramo 28</v>
      </c>
      <c r="E81" s="5" t="s">
        <v>366</v>
      </c>
      <c r="F81" s="7" t="s">
        <v>22</v>
      </c>
      <c r="G81" s="8">
        <v>375001</v>
      </c>
      <c r="H81" s="9" t="str">
        <f>IF(G81&lt;=0,"",VLOOKUP(G81,[7]COG!A:H,2,0))</f>
        <v>Viáticos</v>
      </c>
      <c r="I81" s="10">
        <v>0</v>
      </c>
      <c r="J81" s="10">
        <v>663.92</v>
      </c>
      <c r="K81" s="10">
        <v>0</v>
      </c>
      <c r="L81" s="10"/>
      <c r="M81" s="11">
        <f>SUM(Tabla13455[[#This Row],[TRIMESTRE  I]:[TRIMESTRE IV]])</f>
        <v>663.92</v>
      </c>
      <c r="N81" s="12"/>
      <c r="O81" s="13"/>
      <c r="P81" s="8" t="s">
        <v>361</v>
      </c>
    </row>
    <row r="82" spans="1:16" ht="37.5" customHeight="1" x14ac:dyDescent="0.2">
      <c r="A82" s="3">
        <v>1300000</v>
      </c>
      <c r="B82" s="86" t="s">
        <v>365</v>
      </c>
      <c r="C82" s="5">
        <v>530</v>
      </c>
      <c r="D82" s="6" t="str">
        <f>IF(C82&lt;=0,"",VLOOKUP(C82,[7]FF!A:D,2,0))</f>
        <v>PARTICIPACIONES Ramo 28</v>
      </c>
      <c r="E82" s="5" t="s">
        <v>366</v>
      </c>
      <c r="F82" s="7" t="s">
        <v>22</v>
      </c>
      <c r="G82" s="8">
        <v>379003</v>
      </c>
      <c r="H82" s="9" t="str">
        <f>IF(G82&lt;=0,"",VLOOKUP(G82,[7]COG!A:H,2,0))</f>
        <v>Hospedaje de personas</v>
      </c>
      <c r="I82" s="10">
        <v>0</v>
      </c>
      <c r="J82" s="10">
        <v>0</v>
      </c>
      <c r="K82" s="10">
        <v>0</v>
      </c>
      <c r="L82" s="10"/>
      <c r="M82" s="11">
        <f>SUM(Tabla13455[[#This Row],[TRIMESTRE  I]:[TRIMESTRE IV]])</f>
        <v>0</v>
      </c>
      <c r="N82" s="12" t="s">
        <v>19</v>
      </c>
      <c r="O82" s="13">
        <v>45690</v>
      </c>
      <c r="P82" s="8" t="s">
        <v>361</v>
      </c>
    </row>
    <row r="83" spans="1:16" ht="37.5" customHeight="1" x14ac:dyDescent="0.2">
      <c r="A83" s="3">
        <v>1300000</v>
      </c>
      <c r="B83" s="86" t="s">
        <v>365</v>
      </c>
      <c r="C83" s="5">
        <v>530</v>
      </c>
      <c r="D83" s="6" t="str">
        <f>IF(C83&lt;=0,"",VLOOKUP(C83,[7]FF!A:D,2,0))</f>
        <v>PARTICIPACIONES Ramo 28</v>
      </c>
      <c r="E83" s="5" t="s">
        <v>366</v>
      </c>
      <c r="F83" s="7" t="s">
        <v>22</v>
      </c>
      <c r="G83" s="8">
        <v>382002</v>
      </c>
      <c r="H83" s="9" t="str">
        <f>IF(G83&lt;=0,"",VLOOKUP(G83,[7]COG!A:H,2,0))</f>
        <v>Gastos de recepción, conmemorativos y de orden social</v>
      </c>
      <c r="I83" s="10">
        <v>0</v>
      </c>
      <c r="J83" s="10">
        <v>0</v>
      </c>
      <c r="K83" s="10">
        <v>0</v>
      </c>
      <c r="L83" s="10"/>
      <c r="M83" s="11">
        <f>SUM(Tabla13455[[#This Row],[TRIMESTRE  I]:[TRIMESTRE IV]])</f>
        <v>0</v>
      </c>
      <c r="N83" s="12" t="s">
        <v>19</v>
      </c>
      <c r="O83" s="13">
        <v>45690</v>
      </c>
      <c r="P83" s="8" t="s">
        <v>361</v>
      </c>
    </row>
    <row r="84" spans="1:16" ht="37.5" customHeight="1" x14ac:dyDescent="0.2">
      <c r="A84" s="3">
        <v>1300000</v>
      </c>
      <c r="B84" s="86" t="s">
        <v>365</v>
      </c>
      <c r="C84" s="5">
        <v>530</v>
      </c>
      <c r="D84" s="6" t="str">
        <f>IF(C84&lt;=0,"",VLOOKUP(C84,[7]FF!A:D,2,0))</f>
        <v>PARTICIPACIONES Ramo 28</v>
      </c>
      <c r="E84" s="5" t="s">
        <v>366</v>
      </c>
      <c r="F84" s="7" t="s">
        <v>22</v>
      </c>
      <c r="G84" s="8">
        <v>383001</v>
      </c>
      <c r="H84" s="9" t="str">
        <f>IF(G84&lt;=0,"",VLOOKUP(G84,[7]COG!A:H,2,0))</f>
        <v>Congresos y convenciones</v>
      </c>
      <c r="I84" s="10">
        <v>0</v>
      </c>
      <c r="J84" s="10">
        <v>0</v>
      </c>
      <c r="K84" s="10">
        <v>0</v>
      </c>
      <c r="L84" s="10"/>
      <c r="M84" s="11">
        <f>SUM(Tabla13455[[#This Row],[TRIMESTRE  I]:[TRIMESTRE IV]])</f>
        <v>0</v>
      </c>
      <c r="N84" s="12"/>
      <c r="O84" s="12"/>
      <c r="P84" s="8"/>
    </row>
    <row r="85" spans="1:16" ht="37.5" customHeight="1" x14ac:dyDescent="0.2">
      <c r="A85" s="3">
        <v>1300000</v>
      </c>
      <c r="B85" s="86" t="s">
        <v>365</v>
      </c>
      <c r="C85" s="5">
        <v>530</v>
      </c>
      <c r="D85" s="6" t="str">
        <f>IF(C85&lt;=0,"",VLOOKUP(C85,[7]FF!A:D,2,0))</f>
        <v>PARTICIPACIONES Ramo 28</v>
      </c>
      <c r="E85" s="5" t="s">
        <v>366</v>
      </c>
      <c r="F85" s="7" t="s">
        <v>22</v>
      </c>
      <c r="G85" s="8">
        <v>392001</v>
      </c>
      <c r="H85" s="89" t="str">
        <f>IF(G85&lt;=0,"",VLOOKUP(G85,[7]COG!A:H,2,0))</f>
        <v>Impuestos y derechos</v>
      </c>
      <c r="I85" s="10">
        <v>0</v>
      </c>
      <c r="J85" s="10">
        <v>0</v>
      </c>
      <c r="K85" s="10">
        <v>190</v>
      </c>
      <c r="L85" s="10"/>
      <c r="M85" s="11">
        <f>SUM(Tabla13455[[#This Row],[TRIMESTRE  I]:[TRIMESTRE IV]])</f>
        <v>190</v>
      </c>
      <c r="N85" s="12"/>
      <c r="O85" s="12"/>
      <c r="P85" s="8"/>
    </row>
    <row r="86" spans="1:16" ht="37.5" customHeight="1" x14ac:dyDescent="0.2">
      <c r="A86" s="3">
        <v>130000</v>
      </c>
      <c r="B86" s="4" t="s">
        <v>367</v>
      </c>
      <c r="C86" s="5">
        <v>530</v>
      </c>
      <c r="D86" s="6" t="str">
        <f>IF(C86&lt;=0,"",VLOOKUP(C86,[7]FF!A:D,2,0))</f>
        <v>PARTICIPACIONES Ramo 28</v>
      </c>
      <c r="E86" s="5" t="s">
        <v>368</v>
      </c>
      <c r="F86" s="7" t="s">
        <v>15</v>
      </c>
      <c r="G86" s="8">
        <v>211001</v>
      </c>
      <c r="H86" s="9" t="str">
        <f>IF(G86&lt;=0,"",VLOOKUP(G86,[7]COG!A:H,2,0))</f>
        <v>Material de oficina</v>
      </c>
      <c r="I86" s="10">
        <v>0</v>
      </c>
      <c r="J86" s="10">
        <v>0</v>
      </c>
      <c r="K86" s="10">
        <f>25398.46+12950.76+8184.73</f>
        <v>46533.95</v>
      </c>
      <c r="L86" s="10"/>
      <c r="M86" s="11">
        <f>SUM(Tabla13455[[#This Row],[TRIMESTRE  I]:[TRIMESTRE IV]])</f>
        <v>46533.95</v>
      </c>
      <c r="N86" s="12" t="s">
        <v>17</v>
      </c>
      <c r="O86" s="13" t="s">
        <v>314</v>
      </c>
      <c r="P86" s="8" t="s">
        <v>61</v>
      </c>
    </row>
    <row r="87" spans="1:16" ht="37.5" customHeight="1" x14ac:dyDescent="0.2">
      <c r="A87" s="3">
        <v>130000</v>
      </c>
      <c r="B87" s="4" t="s">
        <v>367</v>
      </c>
      <c r="C87" s="5">
        <v>530</v>
      </c>
      <c r="D87" s="6" t="str">
        <f>IF(C87&lt;=0,"",VLOOKUP(C87,[7]FF!A:D,2,0))</f>
        <v>PARTICIPACIONES Ramo 28</v>
      </c>
      <c r="E87" s="5" t="s">
        <v>368</v>
      </c>
      <c r="F87" s="7" t="s">
        <v>15</v>
      </c>
      <c r="G87" s="8">
        <v>212001</v>
      </c>
      <c r="H87" s="9" t="str">
        <f>IF(G87&lt;=0,"",VLOOKUP(G87,[7]COG!A:H,2,0))</f>
        <v>Material y útiles de impresión</v>
      </c>
      <c r="I87" s="10">
        <v>0</v>
      </c>
      <c r="J87" s="10">
        <v>0</v>
      </c>
      <c r="K87" s="10"/>
      <c r="L87" s="10"/>
      <c r="M87" s="11">
        <f>SUM(Tabla13455[[#This Row],[TRIMESTRE  I]:[TRIMESTRE IV]])</f>
        <v>0</v>
      </c>
      <c r="N87" s="12" t="s">
        <v>19</v>
      </c>
      <c r="O87" s="13">
        <v>45690</v>
      </c>
      <c r="P87" s="8" t="s">
        <v>361</v>
      </c>
    </row>
    <row r="88" spans="1:16" ht="37.5" customHeight="1" x14ac:dyDescent="0.2">
      <c r="A88" s="3">
        <v>130000</v>
      </c>
      <c r="B88" s="4" t="s">
        <v>367</v>
      </c>
      <c r="C88" s="5">
        <v>530</v>
      </c>
      <c r="D88" s="6" t="str">
        <f>IF(C88&lt;=0,"",VLOOKUP(C88,[7]FF!A:D,2,0))</f>
        <v>PARTICIPACIONES Ramo 28</v>
      </c>
      <c r="E88" s="5" t="s">
        <v>368</v>
      </c>
      <c r="F88" s="7" t="s">
        <v>15</v>
      </c>
      <c r="G88" s="8">
        <v>214001</v>
      </c>
      <c r="H88" s="9" t="str">
        <f>IF(G88&lt;=0,"",VLOOKUP(G88,[7]COG!A:H,2,0))</f>
        <v>Materiales, útiles y equipos menores de tecnologías de la información y comunicaciones</v>
      </c>
      <c r="I88" s="10">
        <v>0</v>
      </c>
      <c r="J88" s="10">
        <v>0</v>
      </c>
      <c r="K88" s="10"/>
      <c r="L88" s="10"/>
      <c r="M88" s="11">
        <f>SUM(Tabla13455[[#This Row],[TRIMESTRE  I]:[TRIMESTRE IV]])</f>
        <v>0</v>
      </c>
      <c r="N88" s="12" t="s">
        <v>19</v>
      </c>
      <c r="O88" s="13">
        <v>45690</v>
      </c>
      <c r="P88" s="8" t="s">
        <v>361</v>
      </c>
    </row>
    <row r="89" spans="1:16" ht="37.5" customHeight="1" x14ac:dyDescent="0.2">
      <c r="A89" s="3">
        <v>130000</v>
      </c>
      <c r="B89" s="4" t="s">
        <v>367</v>
      </c>
      <c r="C89" s="5">
        <v>530</v>
      </c>
      <c r="D89" s="6" t="str">
        <f>IF(C89&lt;=0,"",VLOOKUP(C89,[7]FF!A:D,2,0))</f>
        <v>PARTICIPACIONES Ramo 28</v>
      </c>
      <c r="E89" s="5" t="s">
        <v>368</v>
      </c>
      <c r="F89" s="7" t="s">
        <v>15</v>
      </c>
      <c r="G89" s="8">
        <v>215001</v>
      </c>
      <c r="H89" s="9" t="str">
        <f>IF(G89&lt;=0,"",VLOOKUP(G89,[7]COG!A:H,2,0))</f>
        <v>Material didáctico</v>
      </c>
      <c r="I89" s="10">
        <v>0</v>
      </c>
      <c r="J89" s="10">
        <v>0</v>
      </c>
      <c r="K89" s="10"/>
      <c r="L89" s="10"/>
      <c r="M89" s="11">
        <f>SUM(Tabla13455[[#This Row],[TRIMESTRE  I]:[TRIMESTRE IV]])</f>
        <v>0</v>
      </c>
      <c r="N89" s="12" t="s">
        <v>19</v>
      </c>
      <c r="O89" s="13">
        <v>45690</v>
      </c>
      <c r="P89" s="8" t="s">
        <v>361</v>
      </c>
    </row>
    <row r="90" spans="1:16" ht="37.5" customHeight="1" x14ac:dyDescent="0.2">
      <c r="A90" s="3">
        <v>130000</v>
      </c>
      <c r="B90" s="4" t="s">
        <v>367</v>
      </c>
      <c r="C90" s="5">
        <v>530</v>
      </c>
      <c r="D90" s="6" t="str">
        <f>IF(C90&lt;=0,"",VLOOKUP(C90,[7]FF!A:D,2,0))</f>
        <v>PARTICIPACIONES Ramo 28</v>
      </c>
      <c r="E90" s="5" t="s">
        <v>368</v>
      </c>
      <c r="F90" s="7" t="s">
        <v>15</v>
      </c>
      <c r="G90" s="8">
        <v>215003</v>
      </c>
      <c r="H90" s="9" t="str">
        <f>IF(G90&lt;=0,"",VLOOKUP(G90,[7]COG!A:H,2,0))</f>
        <v>Material impreso e información digital</v>
      </c>
      <c r="I90" s="10">
        <v>0</v>
      </c>
      <c r="J90" s="10">
        <v>0</v>
      </c>
      <c r="K90" s="10"/>
      <c r="L90" s="10"/>
      <c r="M90" s="11">
        <f>SUM(Tabla13455[[#This Row],[TRIMESTRE  I]:[TRIMESTRE IV]])</f>
        <v>0</v>
      </c>
      <c r="N90" s="12" t="s">
        <v>19</v>
      </c>
      <c r="O90" s="13">
        <v>45690</v>
      </c>
      <c r="P90" s="8" t="s">
        <v>361</v>
      </c>
    </row>
    <row r="91" spans="1:16" ht="37.5" customHeight="1" x14ac:dyDescent="0.2">
      <c r="A91" s="3">
        <v>130000</v>
      </c>
      <c r="B91" s="4" t="s">
        <v>367</v>
      </c>
      <c r="C91" s="5">
        <v>530</v>
      </c>
      <c r="D91" s="6" t="str">
        <f>IF(C91&lt;=0,"",VLOOKUP(C91,[7]FF!A:D,2,0))</f>
        <v>PARTICIPACIONES Ramo 28</v>
      </c>
      <c r="E91" s="5" t="s">
        <v>368</v>
      </c>
      <c r="F91" s="7" t="s">
        <v>15</v>
      </c>
      <c r="G91" s="8">
        <v>216001</v>
      </c>
      <c r="H91" s="9" t="str">
        <f>IF(G91&lt;=0,"",VLOOKUP(G91,[7]COG!A:H,2,0))</f>
        <v>Material de limpieza</v>
      </c>
      <c r="I91" s="10">
        <v>0</v>
      </c>
      <c r="J91" s="10">
        <v>0</v>
      </c>
      <c r="K91" s="10">
        <f>9441.24+14423.56+14464.04</f>
        <v>38328.839999999997</v>
      </c>
      <c r="L91" s="10"/>
      <c r="M91" s="11">
        <f>SUM(Tabla13455[[#This Row],[TRIMESTRE  I]:[TRIMESTRE IV]])</f>
        <v>38328.839999999997</v>
      </c>
      <c r="N91" s="12" t="s">
        <v>17</v>
      </c>
      <c r="O91" s="13">
        <v>45690</v>
      </c>
      <c r="P91" s="8" t="s">
        <v>61</v>
      </c>
    </row>
    <row r="92" spans="1:16" ht="37.5" customHeight="1" x14ac:dyDescent="0.2">
      <c r="A92" s="3">
        <v>130000</v>
      </c>
      <c r="B92" s="4" t="s">
        <v>367</v>
      </c>
      <c r="C92" s="5">
        <v>530</v>
      </c>
      <c r="D92" s="6" t="str">
        <f>IF(C92&lt;=0,"",VLOOKUP(C92,[7]FF!A:D,2,0))</f>
        <v>PARTICIPACIONES Ramo 28</v>
      </c>
      <c r="E92" s="5" t="s">
        <v>368</v>
      </c>
      <c r="F92" s="7" t="s">
        <v>15</v>
      </c>
      <c r="G92" s="8">
        <v>218002</v>
      </c>
      <c r="H92" s="9" t="str">
        <f>IF(G92&lt;=0,"",VLOOKUP(G92,[7]COG!A:H,2,0))</f>
        <v>Placas, Engomados, Calcomanías y Hologramas</v>
      </c>
      <c r="I92" s="10">
        <v>0</v>
      </c>
      <c r="J92" s="10">
        <v>0</v>
      </c>
      <c r="K92" s="10">
        <f>3188</f>
        <v>3188</v>
      </c>
      <c r="L92" s="10"/>
      <c r="M92" s="11">
        <f>SUM(Tabla13455[[#This Row],[TRIMESTRE  I]:[TRIMESTRE IV]])</f>
        <v>3188</v>
      </c>
      <c r="N92" s="12" t="s">
        <v>17</v>
      </c>
      <c r="O92" s="13">
        <v>45690</v>
      </c>
      <c r="P92" s="8" t="s">
        <v>61</v>
      </c>
    </row>
    <row r="93" spans="1:16" ht="37.5" customHeight="1" x14ac:dyDescent="0.2">
      <c r="A93" s="3">
        <v>130000</v>
      </c>
      <c r="B93" s="4" t="s">
        <v>367</v>
      </c>
      <c r="C93" s="5">
        <v>530</v>
      </c>
      <c r="D93" s="6" t="str">
        <f>IF(C93&lt;=0,"",VLOOKUP(C93,[7]FF!A:D,2,0))</f>
        <v>PARTICIPACIONES Ramo 28</v>
      </c>
      <c r="E93" s="5" t="s">
        <v>368</v>
      </c>
      <c r="F93" s="7" t="s">
        <v>15</v>
      </c>
      <c r="G93" s="8">
        <v>221001</v>
      </c>
      <c r="H93" s="9" t="str">
        <f>IF(G93&lt;=0,"",VLOOKUP(G93,[7]COG!A:H,2,0))</f>
        <v>Alimentación de personas</v>
      </c>
      <c r="I93" s="10">
        <v>348</v>
      </c>
      <c r="J93" s="10">
        <f>4388+1589.2</f>
        <v>5977.2</v>
      </c>
      <c r="K93" s="10">
        <f>5834</f>
        <v>5834</v>
      </c>
      <c r="L93" s="10"/>
      <c r="M93" s="11">
        <f>SUM(Tabla13455[[#This Row],[TRIMESTRE  I]:[TRIMESTRE IV]])</f>
        <v>12159.2</v>
      </c>
      <c r="N93" s="12" t="s">
        <v>19</v>
      </c>
      <c r="O93" s="13">
        <v>45690</v>
      </c>
      <c r="P93" s="8" t="s">
        <v>361</v>
      </c>
    </row>
    <row r="94" spans="1:16" ht="37.5" customHeight="1" x14ac:dyDescent="0.2">
      <c r="A94" s="3">
        <v>130000</v>
      </c>
      <c r="B94" s="4" t="s">
        <v>367</v>
      </c>
      <c r="C94" s="5">
        <v>530</v>
      </c>
      <c r="D94" s="6" t="str">
        <f>IF(C94&lt;=0,"",VLOOKUP(C94,[7]FF!A:D,2,0))</f>
        <v>PARTICIPACIONES Ramo 28</v>
      </c>
      <c r="E94" s="5" t="s">
        <v>368</v>
      </c>
      <c r="F94" s="7" t="s">
        <v>15</v>
      </c>
      <c r="G94" s="8">
        <v>223001</v>
      </c>
      <c r="H94" s="87" t="str">
        <f>IF(G94&lt;=0,"",VLOOKUP(G94,[7]COG!A:H,2,0))</f>
        <v>Utensilios para el servicio de alimentación</v>
      </c>
      <c r="I94" s="10">
        <v>0</v>
      </c>
      <c r="J94" s="10">
        <f>265+310</f>
        <v>575</v>
      </c>
      <c r="K94" s="10">
        <v>0</v>
      </c>
      <c r="L94" s="10"/>
      <c r="M94" s="11">
        <f>SUM(Tabla13455[[#This Row],[TRIMESTRE  I]:[TRIMESTRE IV]])</f>
        <v>575</v>
      </c>
      <c r="N94" s="12" t="s">
        <v>19</v>
      </c>
      <c r="O94" s="13" t="s">
        <v>369</v>
      </c>
      <c r="P94" s="8" t="s">
        <v>361</v>
      </c>
    </row>
    <row r="95" spans="1:16" ht="37.5" customHeight="1" x14ac:dyDescent="0.2">
      <c r="A95" s="3">
        <v>130000</v>
      </c>
      <c r="B95" s="4" t="s">
        <v>367</v>
      </c>
      <c r="C95" s="5">
        <v>530</v>
      </c>
      <c r="D95" s="6" t="str">
        <f>IF(C95&lt;=0,"",VLOOKUP(C95,[7]FF!A:D,2,0))</f>
        <v>PARTICIPACIONES Ramo 28</v>
      </c>
      <c r="E95" s="5" t="s">
        <v>368</v>
      </c>
      <c r="F95" s="7" t="s">
        <v>15</v>
      </c>
      <c r="G95" s="8">
        <v>235001</v>
      </c>
      <c r="H95" s="89" t="str">
        <f>IF(G95&lt;=0,"",VLOOKUP(G95,[7]COG!A:H,2,0))</f>
        <v>Productos químicos, farmacéuticos y de laboratorio adquiridos como materia prima</v>
      </c>
      <c r="I95" s="10">
        <v>0</v>
      </c>
      <c r="J95" s="10">
        <v>547</v>
      </c>
      <c r="K95" s="10">
        <v>0</v>
      </c>
      <c r="L95" s="10"/>
      <c r="M95" s="11">
        <f>SUM(Tabla13455[[#This Row],[TRIMESTRE  I]:[TRIMESTRE IV]])</f>
        <v>547</v>
      </c>
      <c r="N95" s="12" t="s">
        <v>19</v>
      </c>
      <c r="O95" s="13" t="s">
        <v>369</v>
      </c>
      <c r="P95" s="8" t="s">
        <v>361</v>
      </c>
    </row>
    <row r="96" spans="1:16" ht="37.5" customHeight="1" x14ac:dyDescent="0.2">
      <c r="A96" s="3">
        <v>130000</v>
      </c>
      <c r="B96" s="4" t="s">
        <v>367</v>
      </c>
      <c r="C96" s="5">
        <v>530</v>
      </c>
      <c r="D96" s="6" t="str">
        <f>IF(C96&lt;=0,"",VLOOKUP(C96,[7]FF!A:D,2,0))</f>
        <v>PARTICIPACIONES Ramo 28</v>
      </c>
      <c r="E96" s="5" t="s">
        <v>368</v>
      </c>
      <c r="F96" s="7" t="s">
        <v>15</v>
      </c>
      <c r="G96" s="8">
        <v>246001</v>
      </c>
      <c r="H96" s="9" t="str">
        <f>IF(G96&lt;=0,"",VLOOKUP(G96,[7]COG!A:H,2,0))</f>
        <v>Material eléctrico</v>
      </c>
      <c r="I96" s="10">
        <v>59</v>
      </c>
      <c r="J96" s="10">
        <f>334</f>
        <v>334</v>
      </c>
      <c r="K96" s="10">
        <v>0</v>
      </c>
      <c r="L96" s="10"/>
      <c r="M96" s="11">
        <f>SUM(Tabla13455[[#This Row],[TRIMESTRE  I]:[TRIMESTRE IV]])</f>
        <v>393</v>
      </c>
      <c r="N96" s="12" t="s">
        <v>19</v>
      </c>
      <c r="O96" s="13">
        <v>45690</v>
      </c>
      <c r="P96" s="8" t="s">
        <v>361</v>
      </c>
    </row>
    <row r="97" spans="1:16" ht="37.5" customHeight="1" x14ac:dyDescent="0.2">
      <c r="A97" s="3">
        <v>130000</v>
      </c>
      <c r="B97" s="4" t="s">
        <v>367</v>
      </c>
      <c r="C97" s="5">
        <v>530</v>
      </c>
      <c r="D97" s="6" t="str">
        <f>IF(C97&lt;=0,"",VLOOKUP(C97,[7]FF!A:D,2,0))</f>
        <v>PARTICIPACIONES Ramo 28</v>
      </c>
      <c r="E97" s="5" t="s">
        <v>368</v>
      </c>
      <c r="F97" s="7" t="s">
        <v>15</v>
      </c>
      <c r="G97" s="8">
        <v>249001</v>
      </c>
      <c r="H97" s="89" t="str">
        <f>IF(G97&lt;=0,"",VLOOKUP(G97,[7]COG!A:H,2,0))</f>
        <v>Materiales de construcción y complementarios</v>
      </c>
      <c r="I97" s="10">
        <v>0</v>
      </c>
      <c r="J97" s="10">
        <v>140</v>
      </c>
      <c r="K97" s="10">
        <v>0</v>
      </c>
      <c r="L97" s="10"/>
      <c r="M97" s="11">
        <f>SUM(Tabla13455[[#This Row],[TRIMESTRE  I]:[TRIMESTRE IV]])</f>
        <v>140</v>
      </c>
      <c r="N97" s="12" t="s">
        <v>19</v>
      </c>
      <c r="O97" s="13" t="s">
        <v>369</v>
      </c>
      <c r="P97" s="8" t="s">
        <v>361</v>
      </c>
    </row>
    <row r="98" spans="1:16" ht="37.5" customHeight="1" x14ac:dyDescent="0.2">
      <c r="A98" s="3">
        <v>130000</v>
      </c>
      <c r="B98" s="4" t="s">
        <v>367</v>
      </c>
      <c r="C98" s="5">
        <v>530</v>
      </c>
      <c r="D98" s="6" t="str">
        <f>IF(C98&lt;=0,"",VLOOKUP(C98,[7]FF!A:D,2,0))</f>
        <v>PARTICIPACIONES Ramo 28</v>
      </c>
      <c r="E98" s="5" t="s">
        <v>368</v>
      </c>
      <c r="F98" s="7" t="s">
        <v>15</v>
      </c>
      <c r="G98" s="8">
        <v>249002</v>
      </c>
      <c r="H98" s="25" t="str">
        <f>IF(G98&lt;=0,"",VLOOKUP(G98,[7]COG!A:H,2,0))</f>
        <v>Otros materiales de construcción y reparación</v>
      </c>
      <c r="I98" s="26">
        <v>0</v>
      </c>
      <c r="J98" s="10">
        <v>193.5</v>
      </c>
      <c r="K98" s="26">
        <v>0</v>
      </c>
      <c r="L98" s="26">
        <v>0</v>
      </c>
      <c r="M98" s="11">
        <f>SUM(Tabla13455[[#This Row],[TRIMESTRE  I]:[TRIMESTRE IV]])</f>
        <v>193.5</v>
      </c>
      <c r="N98" s="12" t="s">
        <v>19</v>
      </c>
      <c r="O98" s="13" t="s">
        <v>369</v>
      </c>
      <c r="P98" s="8" t="s">
        <v>361</v>
      </c>
    </row>
    <row r="99" spans="1:16" ht="37.5" customHeight="1" x14ac:dyDescent="0.2">
      <c r="A99" s="3">
        <v>130000</v>
      </c>
      <c r="B99" s="4" t="s">
        <v>367</v>
      </c>
      <c r="C99" s="5">
        <v>530</v>
      </c>
      <c r="D99" s="6" t="str">
        <f>IF(C99&lt;=0,"",VLOOKUP(C99,[7]FF!A:D,2,0))</f>
        <v>PARTICIPACIONES Ramo 28</v>
      </c>
      <c r="E99" s="5" t="s">
        <v>368</v>
      </c>
      <c r="F99" s="7" t="s">
        <v>15</v>
      </c>
      <c r="G99" s="8">
        <v>253001</v>
      </c>
      <c r="H99" s="9" t="str">
        <f>IF(G99&lt;=0,"",VLOOKUP(G99,[7]COG!A:H,2,0))</f>
        <v>Material y productos químicos, farmacéuticos</v>
      </c>
      <c r="I99" s="10">
        <v>0</v>
      </c>
      <c r="J99" s="10">
        <v>0</v>
      </c>
      <c r="K99" s="10">
        <v>0</v>
      </c>
      <c r="L99" s="10"/>
      <c r="M99" s="11">
        <f>SUM(Tabla13455[[#This Row],[TRIMESTRE  I]:[TRIMESTRE IV]])</f>
        <v>0</v>
      </c>
      <c r="N99" s="12" t="s">
        <v>19</v>
      </c>
      <c r="O99" s="13">
        <v>45690</v>
      </c>
      <c r="P99" s="8" t="s">
        <v>361</v>
      </c>
    </row>
    <row r="100" spans="1:16" ht="37.5" customHeight="1" x14ac:dyDescent="0.2">
      <c r="A100" s="3">
        <v>130000</v>
      </c>
      <c r="B100" s="4" t="s">
        <v>367</v>
      </c>
      <c r="C100" s="5">
        <v>530</v>
      </c>
      <c r="D100" s="6" t="str">
        <f>IF(C100&lt;=0,"",VLOOKUP(C100,[7]FF!A:D,2,0))</f>
        <v>PARTICIPACIONES Ramo 28</v>
      </c>
      <c r="E100" s="5" t="s">
        <v>368</v>
      </c>
      <c r="F100" s="7" t="s">
        <v>15</v>
      </c>
      <c r="G100" s="8">
        <v>256001</v>
      </c>
      <c r="H100" s="9" t="str">
        <f>IF(G100&lt;=0,"",VLOOKUP(G100,[7]COG!A:H,2,0))</f>
        <v>Fibras sintéticas, hules, plásticos y derivados</v>
      </c>
      <c r="I100" s="90">
        <v>86</v>
      </c>
      <c r="J100" s="10">
        <v>0</v>
      </c>
      <c r="K100" s="10">
        <v>0</v>
      </c>
      <c r="L100" s="10">
        <v>0</v>
      </c>
      <c r="M100" s="11">
        <f>SUM(Tabla13455[[#This Row],[TRIMESTRE  I]:[TRIMESTRE IV]])</f>
        <v>86</v>
      </c>
      <c r="N100" s="12" t="s">
        <v>19</v>
      </c>
      <c r="O100" s="13">
        <v>45690</v>
      </c>
      <c r="P100" s="8" t="s">
        <v>361</v>
      </c>
    </row>
    <row r="101" spans="1:16" ht="37.5" customHeight="1" x14ac:dyDescent="0.2">
      <c r="A101" s="3">
        <v>130000</v>
      </c>
      <c r="B101" s="4" t="s">
        <v>367</v>
      </c>
      <c r="C101" s="5">
        <v>530</v>
      </c>
      <c r="D101" s="6" t="str">
        <f>IF(C101&lt;=0,"",VLOOKUP(C101,[7]FF!A:D,2,0))</f>
        <v>PARTICIPACIONES Ramo 28</v>
      </c>
      <c r="E101" s="5" t="s">
        <v>368</v>
      </c>
      <c r="F101" s="7" t="s">
        <v>15</v>
      </c>
      <c r="G101" s="8">
        <v>261001</v>
      </c>
      <c r="H101" s="9" t="str">
        <f>IF(G101&lt;=0,"",VLOOKUP(G101,[7]COG!A:H,2,0))</f>
        <v>Combustibles</v>
      </c>
      <c r="I101" s="10">
        <v>0</v>
      </c>
      <c r="J101" s="10">
        <v>0</v>
      </c>
      <c r="K101" s="10">
        <f>19703.71+21811.58+18434.07</f>
        <v>59949.36</v>
      </c>
      <c r="L101" s="10"/>
      <c r="M101" s="11">
        <f>SUM(Tabla13455[[#This Row],[TRIMESTRE  I]:[TRIMESTRE IV]])</f>
        <v>59949.36</v>
      </c>
      <c r="N101" s="12" t="s">
        <v>17</v>
      </c>
      <c r="O101" s="13">
        <v>45690</v>
      </c>
      <c r="P101" s="8" t="s">
        <v>61</v>
      </c>
    </row>
    <row r="102" spans="1:16" ht="37.5" customHeight="1" x14ac:dyDescent="0.2">
      <c r="A102" s="3">
        <v>130000</v>
      </c>
      <c r="B102" s="4" t="s">
        <v>367</v>
      </c>
      <c r="C102" s="5">
        <v>530</v>
      </c>
      <c r="D102" s="6" t="str">
        <f>IF(C102&lt;=0,"",VLOOKUP(C102,[7]FF!A:D,2,0))</f>
        <v>PARTICIPACIONES Ramo 28</v>
      </c>
      <c r="E102" s="5" t="s">
        <v>368</v>
      </c>
      <c r="F102" s="7" t="s">
        <v>15</v>
      </c>
      <c r="G102" s="8">
        <v>261002</v>
      </c>
      <c r="H102" s="9" t="str">
        <f>IF(G102&lt;=0,"",VLOOKUP(G102,[7]COG!A:H,2,0))</f>
        <v>Lubricantes y aditivos</v>
      </c>
      <c r="I102" s="10">
        <v>0</v>
      </c>
      <c r="J102" s="10">
        <v>199</v>
      </c>
      <c r="K102" s="10">
        <v>0</v>
      </c>
      <c r="L102" s="10"/>
      <c r="M102" s="11">
        <f>SUM(Tabla13455[[#This Row],[TRIMESTRE  I]:[TRIMESTRE IV]])</f>
        <v>199</v>
      </c>
      <c r="N102" s="12" t="s">
        <v>19</v>
      </c>
      <c r="O102" s="13">
        <v>45690</v>
      </c>
      <c r="P102" s="8" t="s">
        <v>361</v>
      </c>
    </row>
    <row r="103" spans="1:16" ht="37.5" customHeight="1" x14ac:dyDescent="0.2">
      <c r="A103" s="3">
        <v>130000</v>
      </c>
      <c r="B103" s="4" t="s">
        <v>367</v>
      </c>
      <c r="C103" s="5">
        <v>530</v>
      </c>
      <c r="D103" s="6" t="str">
        <f>IF(C103&lt;=0,"",VLOOKUP(C103,[7]FF!A:D,2,0))</f>
        <v>PARTICIPACIONES Ramo 28</v>
      </c>
      <c r="E103" s="5" t="s">
        <v>368</v>
      </c>
      <c r="F103" s="7" t="s">
        <v>15</v>
      </c>
      <c r="G103" s="8">
        <v>271001</v>
      </c>
      <c r="H103" s="9" t="str">
        <f>IF(G103&lt;=0,"",VLOOKUP(G103,[7]COG!A:H,2,0))</f>
        <v>Ropa, vestuario y equipo</v>
      </c>
      <c r="I103" s="10">
        <v>0</v>
      </c>
      <c r="J103" s="10">
        <v>0</v>
      </c>
      <c r="K103" s="10">
        <v>0</v>
      </c>
      <c r="L103" s="10"/>
      <c r="M103" s="11">
        <f>SUM(Tabla13455[[#This Row],[TRIMESTRE  I]:[TRIMESTRE IV]])</f>
        <v>0</v>
      </c>
      <c r="N103" s="12" t="s">
        <v>17</v>
      </c>
      <c r="O103" s="13">
        <v>45690</v>
      </c>
      <c r="P103" s="8" t="s">
        <v>361</v>
      </c>
    </row>
    <row r="104" spans="1:16" ht="37.5" customHeight="1" x14ac:dyDescent="0.2">
      <c r="A104" s="3">
        <v>130000</v>
      </c>
      <c r="B104" s="4" t="s">
        <v>367</v>
      </c>
      <c r="C104" s="5">
        <v>530</v>
      </c>
      <c r="D104" s="6" t="str">
        <f>IF(C104&lt;=0,"",VLOOKUP(C104,[7]FF!A:D,2,0))</f>
        <v>PARTICIPACIONES Ramo 28</v>
      </c>
      <c r="E104" s="5" t="s">
        <v>368</v>
      </c>
      <c r="F104" s="7" t="s">
        <v>15</v>
      </c>
      <c r="G104" s="8">
        <v>273001</v>
      </c>
      <c r="H104" s="9" t="str">
        <f>IF(G104&lt;=0,"",VLOOKUP(G104,[7]COG!A:H,2,0))</f>
        <v>Artículos deportivos</v>
      </c>
      <c r="I104" s="10">
        <v>0</v>
      </c>
      <c r="J104" s="10">
        <v>0</v>
      </c>
      <c r="K104" s="10">
        <v>0</v>
      </c>
      <c r="L104" s="10"/>
      <c r="M104" s="11">
        <f>SUM(Tabla13455[[#This Row],[TRIMESTRE  I]:[TRIMESTRE IV]])</f>
        <v>0</v>
      </c>
      <c r="N104" s="12" t="s">
        <v>19</v>
      </c>
      <c r="O104" s="13">
        <v>45690</v>
      </c>
      <c r="P104" s="8" t="s">
        <v>361</v>
      </c>
    </row>
    <row r="105" spans="1:16" ht="37.5" customHeight="1" x14ac:dyDescent="0.2">
      <c r="A105" s="3">
        <v>130000</v>
      </c>
      <c r="B105" s="4" t="s">
        <v>367</v>
      </c>
      <c r="C105" s="5">
        <v>530</v>
      </c>
      <c r="D105" s="6" t="str">
        <f>IF(C105&lt;=0,"",VLOOKUP(C105,[7]FF!A:D,2,0))</f>
        <v>PARTICIPACIONES Ramo 28</v>
      </c>
      <c r="E105" s="5" t="s">
        <v>368</v>
      </c>
      <c r="F105" s="7" t="s">
        <v>15</v>
      </c>
      <c r="G105" s="8">
        <v>292001</v>
      </c>
      <c r="H105" s="9" t="str">
        <f>IF(G105&lt;=0,"",VLOOKUP(G105,[7]COG!A:H,2,0))</f>
        <v>Refacciones y accesorios menores de edificios (candados, cerraduras, chapas, llaves)</v>
      </c>
      <c r="I105" s="10">
        <v>0</v>
      </c>
      <c r="J105" s="10">
        <v>0</v>
      </c>
      <c r="K105" s="10">
        <v>0</v>
      </c>
      <c r="L105" s="10"/>
      <c r="M105" s="11">
        <f>SUM(Tabla13455[[#This Row],[TRIMESTRE  I]:[TRIMESTRE IV]])</f>
        <v>0</v>
      </c>
      <c r="N105" s="12" t="s">
        <v>19</v>
      </c>
      <c r="O105" s="13">
        <v>45690</v>
      </c>
      <c r="P105" s="8" t="s">
        <v>361</v>
      </c>
    </row>
    <row r="106" spans="1:16" ht="37.5" customHeight="1" x14ac:dyDescent="0.2">
      <c r="A106" s="3">
        <v>130000</v>
      </c>
      <c r="B106" s="4" t="s">
        <v>367</v>
      </c>
      <c r="C106" s="5">
        <v>530</v>
      </c>
      <c r="D106" s="6" t="str">
        <f>IF(C106&lt;=0,"",VLOOKUP(C106,[7]FF!A:D,2,0))</f>
        <v>PARTICIPACIONES Ramo 28</v>
      </c>
      <c r="E106" s="5" t="s">
        <v>368</v>
      </c>
      <c r="F106" s="7" t="s">
        <v>15</v>
      </c>
      <c r="G106" s="8">
        <v>293001</v>
      </c>
      <c r="H106" s="9" t="str">
        <f>IF(G106&lt;=0,"",VLOOKUP(G106,[7]COG!A:H,2,0))</f>
        <v>Refacciones y accesorios menores de mobiliario y equipo de administración, educacional y recreativo</v>
      </c>
      <c r="I106" s="10">
        <v>0</v>
      </c>
      <c r="J106" s="10">
        <v>0</v>
      </c>
      <c r="K106" s="10">
        <v>0</v>
      </c>
      <c r="L106" s="10"/>
      <c r="M106" s="11">
        <f>SUM(Tabla13455[[#This Row],[TRIMESTRE  I]:[TRIMESTRE IV]])</f>
        <v>0</v>
      </c>
      <c r="N106" s="12" t="s">
        <v>19</v>
      </c>
      <c r="O106" s="13">
        <v>45690</v>
      </c>
      <c r="P106" s="8" t="s">
        <v>361</v>
      </c>
    </row>
    <row r="107" spans="1:16" ht="37.5" customHeight="1" x14ac:dyDescent="0.2">
      <c r="A107" s="3">
        <v>130000</v>
      </c>
      <c r="B107" s="4" t="s">
        <v>367</v>
      </c>
      <c r="C107" s="5">
        <v>530</v>
      </c>
      <c r="D107" s="6" t="str">
        <f>IF(C107&lt;=0,"",VLOOKUP(C107,[7]FF!A:D,2,0))</f>
        <v>PARTICIPACIONES Ramo 28</v>
      </c>
      <c r="E107" s="5" t="s">
        <v>368</v>
      </c>
      <c r="F107" s="7" t="s">
        <v>15</v>
      </c>
      <c r="G107" s="8">
        <v>294001</v>
      </c>
      <c r="H107" s="9" t="str">
        <f>IF(G107&lt;=0,"",VLOOKUP(G107,[7]COG!A:H,2,0))</f>
        <v>Dispositivos Internos y Externos de Equipo de Computo</v>
      </c>
      <c r="I107" s="10">
        <v>0</v>
      </c>
      <c r="J107" s="10">
        <v>0</v>
      </c>
      <c r="K107" s="10">
        <v>1508</v>
      </c>
      <c r="L107" s="10"/>
      <c r="M107" s="11">
        <f>SUM(Tabla13455[[#This Row],[TRIMESTRE  I]:[TRIMESTRE IV]])</f>
        <v>1508</v>
      </c>
      <c r="N107" s="12" t="s">
        <v>19</v>
      </c>
      <c r="O107" s="13">
        <v>45690</v>
      </c>
      <c r="P107" s="8" t="s">
        <v>361</v>
      </c>
    </row>
    <row r="108" spans="1:16" ht="37.5" customHeight="1" x14ac:dyDescent="0.2">
      <c r="A108" s="3">
        <v>130000</v>
      </c>
      <c r="B108" s="4" t="s">
        <v>367</v>
      </c>
      <c r="C108" s="5">
        <v>530</v>
      </c>
      <c r="D108" s="6" t="str">
        <f>IF(C108&lt;=0,"",VLOOKUP(C108,[7]FF!A:D,2,0))</f>
        <v>PARTICIPACIONES Ramo 28</v>
      </c>
      <c r="E108" s="5" t="s">
        <v>368</v>
      </c>
      <c r="F108" s="7" t="s">
        <v>15</v>
      </c>
      <c r="G108" s="8">
        <v>294002</v>
      </c>
      <c r="H108" s="9" t="str">
        <f>IF(G108&lt;=0,"",VLOOKUP(G108,[7]COG!A:H,2,0))</f>
        <v>Refacciones y Accesorios Menores de Equipo de Computo</v>
      </c>
      <c r="I108" s="10">
        <v>0</v>
      </c>
      <c r="J108" s="10">
        <f>991+99.53</f>
        <v>1090.53</v>
      </c>
      <c r="K108" s="10">
        <f>400.01</f>
        <v>400.01</v>
      </c>
      <c r="L108" s="10"/>
      <c r="M108" s="11">
        <f>SUM(Tabla13455[[#This Row],[TRIMESTRE  I]:[TRIMESTRE IV]])</f>
        <v>1490.54</v>
      </c>
      <c r="N108" s="12" t="s">
        <v>19</v>
      </c>
      <c r="O108" s="13">
        <v>45690</v>
      </c>
      <c r="P108" s="8" t="s">
        <v>361</v>
      </c>
    </row>
    <row r="109" spans="1:16" ht="37.5" customHeight="1" x14ac:dyDescent="0.2">
      <c r="A109" s="3">
        <v>130000</v>
      </c>
      <c r="B109" s="4" t="s">
        <v>367</v>
      </c>
      <c r="C109" s="5">
        <v>530</v>
      </c>
      <c r="D109" s="6" t="str">
        <f>IF(C109&lt;=0,"",VLOOKUP(C109,[7]FF!A:D,2,0))</f>
        <v>PARTICIPACIONES Ramo 28</v>
      </c>
      <c r="E109" s="5" t="s">
        <v>368</v>
      </c>
      <c r="F109" s="7" t="s">
        <v>15</v>
      </c>
      <c r="G109" s="8">
        <v>296001</v>
      </c>
      <c r="H109" s="9" t="str">
        <f>IF(G109&lt;=0,"",VLOOKUP(G109,[7]COG!A:H,2,0))</f>
        <v>Herramientas, refacciones y accesorios</v>
      </c>
      <c r="I109" s="10">
        <v>0</v>
      </c>
      <c r="J109" s="10">
        <v>0</v>
      </c>
      <c r="K109" s="10">
        <v>0</v>
      </c>
      <c r="L109" s="10"/>
      <c r="M109" s="11">
        <f>SUM(Tabla13455[[#This Row],[TRIMESTRE  I]:[TRIMESTRE IV]])</f>
        <v>0</v>
      </c>
      <c r="N109" s="12" t="s">
        <v>19</v>
      </c>
      <c r="O109" s="13">
        <v>45690</v>
      </c>
      <c r="P109" s="8" t="s">
        <v>361</v>
      </c>
    </row>
    <row r="110" spans="1:16" ht="37.5" customHeight="1" x14ac:dyDescent="0.2">
      <c r="A110" s="3">
        <v>130000</v>
      </c>
      <c r="B110" s="4" t="s">
        <v>367</v>
      </c>
      <c r="C110" s="5">
        <v>530</v>
      </c>
      <c r="D110" s="6" t="str">
        <f>IF(C110&lt;=0,"",VLOOKUP(C110,[7]FF!A:D,2,0))</f>
        <v>PARTICIPACIONES Ramo 28</v>
      </c>
      <c r="E110" s="5" t="s">
        <v>368</v>
      </c>
      <c r="F110" s="7" t="s">
        <v>15</v>
      </c>
      <c r="G110" s="8">
        <v>298001</v>
      </c>
      <c r="H110" s="9" t="str">
        <f>IF(G110&lt;=0,"",VLOOKUP(G110,[7]COG!A:H,2,0))</f>
        <v>Refacciones y accesorios menores de maquinaria y otros equipos</v>
      </c>
      <c r="I110" s="10">
        <v>0</v>
      </c>
      <c r="J110" s="10">
        <v>0</v>
      </c>
      <c r="K110" s="10">
        <f>2891.9</f>
        <v>2891.9</v>
      </c>
      <c r="L110" s="10"/>
      <c r="M110" s="11">
        <f>SUM(Tabla13455[[#This Row],[TRIMESTRE  I]:[TRIMESTRE IV]])</f>
        <v>2891.9</v>
      </c>
      <c r="N110" s="12" t="s">
        <v>19</v>
      </c>
      <c r="O110" s="13">
        <v>45690</v>
      </c>
      <c r="P110" s="8" t="s">
        <v>361</v>
      </c>
    </row>
    <row r="111" spans="1:16" ht="37.5" customHeight="1" x14ac:dyDescent="0.2">
      <c r="A111" s="3">
        <v>130000</v>
      </c>
      <c r="B111" s="4" t="s">
        <v>367</v>
      </c>
      <c r="C111" s="5">
        <v>530</v>
      </c>
      <c r="D111" s="6" t="str">
        <f>IF(C111&lt;=0,"",VLOOKUP(C111,[7]FF!A:D,2,0))</f>
        <v>PARTICIPACIONES Ramo 28</v>
      </c>
      <c r="E111" s="5" t="s">
        <v>368</v>
      </c>
      <c r="F111" s="7" t="s">
        <v>15</v>
      </c>
      <c r="G111" s="79">
        <v>299001</v>
      </c>
      <c r="H111" s="9" t="str">
        <f>IF(G111&lt;=0,"",VLOOKUP(G111,[7]COG!A:H,2,0))</f>
        <v>Refacciones y accesorios menores otros bienes muebles</v>
      </c>
      <c r="I111" s="10">
        <v>343</v>
      </c>
      <c r="J111" s="10">
        <v>618.94000000000005</v>
      </c>
      <c r="K111" s="10">
        <v>0</v>
      </c>
      <c r="L111" s="10">
        <v>0</v>
      </c>
      <c r="M111" s="11">
        <f>SUM(Tabla13455[[#This Row],[TRIMESTRE  I]:[TRIMESTRE IV]])</f>
        <v>961.94</v>
      </c>
      <c r="N111" s="12" t="s">
        <v>19</v>
      </c>
      <c r="O111" s="13">
        <v>45690</v>
      </c>
      <c r="P111" s="8" t="s">
        <v>361</v>
      </c>
    </row>
    <row r="112" spans="1:16" ht="37.5" customHeight="1" x14ac:dyDescent="0.2">
      <c r="A112" s="3">
        <v>130000</v>
      </c>
      <c r="B112" s="4" t="s">
        <v>367</v>
      </c>
      <c r="C112" s="5">
        <v>530</v>
      </c>
      <c r="D112" s="6" t="str">
        <f>IF(C112&lt;=0,"",VLOOKUP(C112,[7]FF!A:D,2,0))</f>
        <v>PARTICIPACIONES Ramo 28</v>
      </c>
      <c r="E112" s="5" t="s">
        <v>368</v>
      </c>
      <c r="F112" s="7" t="s">
        <v>22</v>
      </c>
      <c r="G112" s="8">
        <v>311001</v>
      </c>
      <c r="H112" s="9" t="str">
        <f>IF(G112&lt;=0,"",VLOOKUP(G112,[7]COG!A:H,2,0))</f>
        <v>Servicio de energía eléctrica</v>
      </c>
      <c r="I112" s="10">
        <v>26014</v>
      </c>
      <c r="J112" s="10">
        <f>15448</f>
        <v>15448</v>
      </c>
      <c r="K112" s="10">
        <f>22754</f>
        <v>22754</v>
      </c>
      <c r="L112" s="10"/>
      <c r="M112" s="11">
        <f>SUM(Tabla13455[[#This Row],[TRIMESTRE  I]:[TRIMESTRE IV]])</f>
        <v>64216</v>
      </c>
      <c r="N112" s="12" t="s">
        <v>19</v>
      </c>
      <c r="O112" s="13">
        <v>45690</v>
      </c>
      <c r="P112" s="8" t="s">
        <v>361</v>
      </c>
    </row>
    <row r="113" spans="1:16" ht="37.5" customHeight="1" x14ac:dyDescent="0.2">
      <c r="A113" s="3">
        <v>130000</v>
      </c>
      <c r="B113" s="4" t="s">
        <v>367</v>
      </c>
      <c r="C113" s="5">
        <v>530</v>
      </c>
      <c r="D113" s="6" t="str">
        <f>IF(C113&lt;=0,"",VLOOKUP(C113,[7]FF!A:D,2,0))</f>
        <v>PARTICIPACIONES Ramo 28</v>
      </c>
      <c r="E113" s="5" t="s">
        <v>368</v>
      </c>
      <c r="F113" s="7" t="s">
        <v>22</v>
      </c>
      <c r="G113" s="8">
        <v>313001</v>
      </c>
      <c r="H113" s="9" t="str">
        <f>IF(G113&lt;=0,"",VLOOKUP(G113,[7]COG!A:H,2,0))</f>
        <v>Servicio de agua potable</v>
      </c>
      <c r="I113" s="10">
        <v>0</v>
      </c>
      <c r="J113" s="10">
        <v>53993.4</v>
      </c>
      <c r="K113" s="10">
        <v>43194.720000000001</v>
      </c>
      <c r="L113" s="10"/>
      <c r="M113" s="11">
        <f>SUM(Tabla13455[[#This Row],[TRIMESTRE  I]:[TRIMESTRE IV]])</f>
        <v>97188.12</v>
      </c>
      <c r="N113" s="12" t="s">
        <v>19</v>
      </c>
      <c r="O113" s="13">
        <v>45690</v>
      </c>
      <c r="P113" s="8" t="s">
        <v>361</v>
      </c>
    </row>
    <row r="114" spans="1:16" ht="37.5" customHeight="1" x14ac:dyDescent="0.2">
      <c r="A114" s="3">
        <v>130000</v>
      </c>
      <c r="B114" s="4" t="s">
        <v>367</v>
      </c>
      <c r="C114" s="5">
        <v>530</v>
      </c>
      <c r="D114" s="6" t="str">
        <f>IF(C114&lt;=0,"",VLOOKUP(C114,[7]FF!A:D,2,0))</f>
        <v>PARTICIPACIONES Ramo 28</v>
      </c>
      <c r="E114" s="5" t="s">
        <v>368</v>
      </c>
      <c r="F114" s="7" t="s">
        <v>22</v>
      </c>
      <c r="G114" s="8">
        <v>314001</v>
      </c>
      <c r="H114" s="9" t="str">
        <f>IF(G114&lt;=0,"",VLOOKUP(G114,[7]COG!A:H,2,0))</f>
        <v>Servicio telefónico</v>
      </c>
      <c r="I114" s="10">
        <f>1647+4713.42</f>
        <v>6360.42</v>
      </c>
      <c r="J114" s="10">
        <f>2196+6284.56</f>
        <v>8480.5600000000013</v>
      </c>
      <c r="K114" s="10">
        <f>1098+3142.28</f>
        <v>4240.2800000000007</v>
      </c>
      <c r="L114" s="10"/>
      <c r="M114" s="11">
        <f>SUM(Tabla13455[[#This Row],[TRIMESTRE  I]:[TRIMESTRE IV]])</f>
        <v>19081.260000000002</v>
      </c>
      <c r="N114" s="12" t="s">
        <v>19</v>
      </c>
      <c r="O114" s="13">
        <v>45690</v>
      </c>
      <c r="P114" s="8" t="s">
        <v>361</v>
      </c>
    </row>
    <row r="115" spans="1:16" ht="37.5" customHeight="1" x14ac:dyDescent="0.2">
      <c r="A115" s="3">
        <v>130000</v>
      </c>
      <c r="B115" s="4" t="s">
        <v>367</v>
      </c>
      <c r="C115" s="5">
        <v>530</v>
      </c>
      <c r="D115" s="6" t="str">
        <f>IF(C115&lt;=0,"",VLOOKUP(C115,[7]FF!A:D,2,0))</f>
        <v>PARTICIPACIONES Ramo 28</v>
      </c>
      <c r="E115" s="5" t="s">
        <v>368</v>
      </c>
      <c r="F115" s="7" t="s">
        <v>22</v>
      </c>
      <c r="G115" s="8">
        <v>318001</v>
      </c>
      <c r="H115" s="9" t="str">
        <f>IF(G115&lt;=0,"",VLOOKUP(G115,[7]COG!A:H,2,0))</f>
        <v>Servicio postal y telegráfico</v>
      </c>
      <c r="I115" s="10">
        <v>0</v>
      </c>
      <c r="J115" s="10">
        <v>0</v>
      </c>
      <c r="K115" s="10">
        <v>0</v>
      </c>
      <c r="L115" s="10"/>
      <c r="M115" s="11">
        <f>SUM(Tabla13455[[#This Row],[TRIMESTRE  I]:[TRIMESTRE IV]])</f>
        <v>0</v>
      </c>
      <c r="N115" s="12" t="s">
        <v>19</v>
      </c>
      <c r="O115" s="13">
        <v>45690</v>
      </c>
      <c r="P115" s="8" t="s">
        <v>361</v>
      </c>
    </row>
    <row r="116" spans="1:16" ht="37.5" customHeight="1" x14ac:dyDescent="0.2">
      <c r="A116" s="3">
        <v>130000</v>
      </c>
      <c r="B116" s="4" t="s">
        <v>367</v>
      </c>
      <c r="C116" s="5">
        <v>530</v>
      </c>
      <c r="D116" s="6" t="str">
        <f>IF(C116&lt;=0,"",VLOOKUP(C116,[7]FF!A:D,2,0))</f>
        <v>PARTICIPACIONES Ramo 28</v>
      </c>
      <c r="E116" s="5" t="s">
        <v>368</v>
      </c>
      <c r="F116" s="7" t="s">
        <v>22</v>
      </c>
      <c r="G116" s="8">
        <v>323002</v>
      </c>
      <c r="H116" s="9" t="str">
        <f>IF(G116&lt;=0,"",VLOOKUP(G116,[7]COG!A:H,2,0))</f>
        <v>Arrendamiento de maquinaria y equipo de Administración</v>
      </c>
      <c r="I116" s="10">
        <v>0</v>
      </c>
      <c r="J116" s="10">
        <v>14616</v>
      </c>
      <c r="K116" s="10">
        <f>5846.4</f>
        <v>5846.4</v>
      </c>
      <c r="L116" s="10"/>
      <c r="M116" s="11">
        <f>SUM(Tabla13455[[#This Row],[TRIMESTRE  I]:[TRIMESTRE IV]])</f>
        <v>20462.400000000001</v>
      </c>
      <c r="N116" s="12" t="s">
        <v>362</v>
      </c>
      <c r="O116" s="13">
        <v>45690</v>
      </c>
      <c r="P116" s="8" t="s">
        <v>61</v>
      </c>
    </row>
    <row r="117" spans="1:16" ht="37.5" customHeight="1" x14ac:dyDescent="0.2">
      <c r="A117" s="3">
        <v>130000</v>
      </c>
      <c r="B117" s="4" t="s">
        <v>367</v>
      </c>
      <c r="C117" s="5">
        <v>530</v>
      </c>
      <c r="D117" s="6" t="str">
        <f>IF(C117&lt;=0,"",VLOOKUP(C117,[7]FF!A:D,2,0))</f>
        <v>PARTICIPACIONES Ramo 28</v>
      </c>
      <c r="E117" s="5" t="s">
        <v>368</v>
      </c>
      <c r="F117" s="7" t="s">
        <v>22</v>
      </c>
      <c r="G117" s="8">
        <v>334001</v>
      </c>
      <c r="H117" s="9" t="str">
        <f>IF(G117&lt;=0,"",VLOOKUP(G117,[7]COG!A:H,2,0))</f>
        <v>Cuotas e inscripciones</v>
      </c>
      <c r="I117" s="10">
        <v>0</v>
      </c>
      <c r="J117" s="10">
        <v>100000</v>
      </c>
      <c r="K117" s="10">
        <v>0</v>
      </c>
      <c r="L117" s="10"/>
      <c r="M117" s="11">
        <f>SUM(Tabla13455[[#This Row],[TRIMESTRE  I]:[TRIMESTRE IV]])</f>
        <v>100000</v>
      </c>
      <c r="N117" s="12" t="s">
        <v>19</v>
      </c>
      <c r="O117" s="13">
        <v>45690</v>
      </c>
      <c r="P117" s="8" t="s">
        <v>361</v>
      </c>
    </row>
    <row r="118" spans="1:16" ht="37.5" customHeight="1" x14ac:dyDescent="0.2">
      <c r="A118" s="3">
        <v>130000</v>
      </c>
      <c r="B118" s="4" t="s">
        <v>367</v>
      </c>
      <c r="C118" s="5">
        <v>530</v>
      </c>
      <c r="D118" s="6" t="str">
        <f>IF(C118&lt;=0,"",VLOOKUP(C118,[7]FF!A:D,2,0))</f>
        <v>PARTICIPACIONES Ramo 28</v>
      </c>
      <c r="E118" s="5" t="s">
        <v>368</v>
      </c>
      <c r="F118" s="7" t="s">
        <v>22</v>
      </c>
      <c r="G118" s="8">
        <v>334002</v>
      </c>
      <c r="H118" s="9" t="str">
        <f>IF(G118&lt;=0,"",VLOOKUP(G118,[7]COG!A:H,2,0))</f>
        <v>Servicios de Capacitación</v>
      </c>
      <c r="I118" s="10">
        <v>0</v>
      </c>
      <c r="J118" s="10">
        <v>0</v>
      </c>
      <c r="K118" s="10">
        <v>0</v>
      </c>
      <c r="L118" s="10"/>
      <c r="M118" s="11">
        <f>SUM(Tabla13455[[#This Row],[TRIMESTRE  I]:[TRIMESTRE IV]])</f>
        <v>0</v>
      </c>
      <c r="N118" s="12" t="s">
        <v>19</v>
      </c>
      <c r="O118" s="13">
        <v>45690</v>
      </c>
      <c r="P118" s="8" t="s">
        <v>361</v>
      </c>
    </row>
    <row r="119" spans="1:16" ht="37.5" customHeight="1" x14ac:dyDescent="0.2">
      <c r="A119" s="3">
        <v>130000</v>
      </c>
      <c r="B119" s="4" t="s">
        <v>367</v>
      </c>
      <c r="C119" s="5">
        <v>530</v>
      </c>
      <c r="D119" s="6" t="str">
        <f>IF(C119&lt;=0,"",VLOOKUP(C119,[7]FF!A:D,2,0))</f>
        <v>PARTICIPACIONES Ramo 28</v>
      </c>
      <c r="E119" s="5" t="s">
        <v>368</v>
      </c>
      <c r="F119" s="7" t="s">
        <v>22</v>
      </c>
      <c r="G119" s="8">
        <v>336001</v>
      </c>
      <c r="H119" s="9" t="str">
        <f>IF(G119&lt;=0,"",VLOOKUP(G119,[7]COG!A:H,2,0))</f>
        <v>Servicio de Fotocopiado, Enmicado y Encuadernación de Documentos.</v>
      </c>
      <c r="I119" s="10">
        <v>0</v>
      </c>
      <c r="J119" s="10">
        <v>0</v>
      </c>
      <c r="K119" s="10">
        <v>0</v>
      </c>
      <c r="L119" s="10"/>
      <c r="M119" s="11">
        <f>SUM(Tabla13455[[#This Row],[TRIMESTRE  I]:[TRIMESTRE IV]])</f>
        <v>0</v>
      </c>
      <c r="N119" s="12" t="s">
        <v>19</v>
      </c>
      <c r="O119" s="13">
        <v>45690</v>
      </c>
      <c r="P119" s="8" t="s">
        <v>361</v>
      </c>
    </row>
    <row r="120" spans="1:16" ht="37.5" customHeight="1" x14ac:dyDescent="0.2">
      <c r="A120" s="3">
        <v>130000</v>
      </c>
      <c r="B120" s="4" t="s">
        <v>367</v>
      </c>
      <c r="C120" s="5">
        <v>530</v>
      </c>
      <c r="D120" s="6" t="str">
        <f>IF(C120&lt;=0,"",VLOOKUP(C120,[7]FF!A:D,2,0))</f>
        <v>PARTICIPACIONES Ramo 28</v>
      </c>
      <c r="E120" s="5" t="s">
        <v>368</v>
      </c>
      <c r="F120" s="7" t="s">
        <v>22</v>
      </c>
      <c r="G120" s="8">
        <v>338001</v>
      </c>
      <c r="H120" s="9" t="str">
        <f>IF(G120&lt;=0,"",VLOOKUP(G120,[7]COG!A:H,2,0))</f>
        <v>Servicio de seguridad privada</v>
      </c>
      <c r="I120" s="10">
        <v>0</v>
      </c>
      <c r="J120" s="10">
        <v>4234</v>
      </c>
      <c r="K120" s="10">
        <v>0</v>
      </c>
      <c r="L120" s="10"/>
      <c r="M120" s="11">
        <f>SUM(Tabla13455[[#This Row],[TRIMESTRE  I]:[TRIMESTRE IV]])</f>
        <v>4234</v>
      </c>
      <c r="N120" s="12" t="s">
        <v>19</v>
      </c>
      <c r="O120" s="13">
        <v>45749</v>
      </c>
      <c r="P120" s="8" t="s">
        <v>361</v>
      </c>
    </row>
    <row r="121" spans="1:16" ht="37.5" customHeight="1" x14ac:dyDescent="0.2">
      <c r="A121" s="3">
        <v>130000</v>
      </c>
      <c r="B121" s="4" t="s">
        <v>367</v>
      </c>
      <c r="C121" s="5">
        <v>530</v>
      </c>
      <c r="D121" s="6" t="str">
        <f>IF(C121&lt;=0,"",VLOOKUP(C121,[7]FF!A:D,2,0))</f>
        <v>PARTICIPACIONES Ramo 28</v>
      </c>
      <c r="E121" s="5" t="s">
        <v>368</v>
      </c>
      <c r="F121" s="7" t="s">
        <v>22</v>
      </c>
      <c r="G121" s="8">
        <v>347001</v>
      </c>
      <c r="H121" s="9" t="str">
        <f>IF(G121&lt;=0,"",VLOOKUP(G121,[7]COG!A:H,2,0))</f>
        <v>Fletes, maniobras y almacenaje</v>
      </c>
      <c r="I121" s="10">
        <v>0</v>
      </c>
      <c r="J121" s="10">
        <v>0</v>
      </c>
      <c r="K121" s="10">
        <v>0</v>
      </c>
      <c r="L121" s="10"/>
      <c r="M121" s="11">
        <f>SUM(Tabla13455[[#This Row],[TRIMESTRE  I]:[TRIMESTRE IV]])</f>
        <v>0</v>
      </c>
      <c r="N121" s="12" t="s">
        <v>19</v>
      </c>
      <c r="O121" s="13">
        <v>45690</v>
      </c>
      <c r="P121" s="8" t="s">
        <v>361</v>
      </c>
    </row>
    <row r="122" spans="1:16" ht="37.5" customHeight="1" x14ac:dyDescent="0.2">
      <c r="A122" s="3">
        <v>130000</v>
      </c>
      <c r="B122" s="4" t="s">
        <v>367</v>
      </c>
      <c r="C122" s="5">
        <v>530</v>
      </c>
      <c r="D122" s="6" t="str">
        <f>IF(C122&lt;=0,"",VLOOKUP(C122,[7]FF!A:D,2,0))</f>
        <v>PARTICIPACIONES Ramo 28</v>
      </c>
      <c r="E122" s="5" t="s">
        <v>368</v>
      </c>
      <c r="F122" s="7" t="s">
        <v>22</v>
      </c>
      <c r="G122" s="8">
        <v>351001</v>
      </c>
      <c r="H122" s="9" t="str">
        <f>IF(G122&lt;=0,"",VLOOKUP(G122,[7]COG!A:H,2,0))</f>
        <v>Mantenimiento de inmuebles</v>
      </c>
      <c r="I122" s="10">
        <v>0</v>
      </c>
      <c r="J122" s="10">
        <v>6709.25</v>
      </c>
      <c r="K122" s="10">
        <v>0</v>
      </c>
      <c r="L122" s="10"/>
      <c r="M122" s="11">
        <f>SUM(Tabla13455[[#This Row],[TRIMESTRE  I]:[TRIMESTRE IV]])</f>
        <v>6709.25</v>
      </c>
      <c r="N122" s="12" t="s">
        <v>19</v>
      </c>
      <c r="O122" s="13">
        <v>45690</v>
      </c>
      <c r="P122" s="8" t="s">
        <v>361</v>
      </c>
    </row>
    <row r="123" spans="1:16" ht="37.5" customHeight="1" x14ac:dyDescent="0.2">
      <c r="A123" s="3">
        <v>130000</v>
      </c>
      <c r="B123" s="4" t="s">
        <v>367</v>
      </c>
      <c r="C123" s="5">
        <v>530</v>
      </c>
      <c r="D123" s="6" t="str">
        <f>IF(C123&lt;=0,"",VLOOKUP(C123,[7]FF!A:D,2,0))</f>
        <v>PARTICIPACIONES Ramo 28</v>
      </c>
      <c r="E123" s="5" t="s">
        <v>368</v>
      </c>
      <c r="F123" s="7" t="s">
        <v>22</v>
      </c>
      <c r="G123" s="8">
        <v>351002</v>
      </c>
      <c r="H123" s="9" t="str">
        <f>IF(G123&lt;=0,"",VLOOKUP(G123,[7]COG!A:H,2,0))</f>
        <v>Fumigación de Inmuebles</v>
      </c>
      <c r="I123" s="10">
        <v>0</v>
      </c>
      <c r="J123" s="10">
        <v>5074</v>
      </c>
      <c r="K123" s="10">
        <f>7656</f>
        <v>7656</v>
      </c>
      <c r="L123" s="10"/>
      <c r="M123" s="11">
        <f>SUM(Tabla13455[[#This Row],[TRIMESTRE  I]:[TRIMESTRE IV]])</f>
        <v>12730</v>
      </c>
      <c r="N123" s="12" t="s">
        <v>19</v>
      </c>
      <c r="O123" s="13">
        <v>45690</v>
      </c>
      <c r="P123" s="8" t="s">
        <v>361</v>
      </c>
    </row>
    <row r="124" spans="1:16" ht="37.5" customHeight="1" x14ac:dyDescent="0.2">
      <c r="A124" s="3">
        <v>130000</v>
      </c>
      <c r="B124" s="4" t="s">
        <v>367</v>
      </c>
      <c r="C124" s="5">
        <v>530</v>
      </c>
      <c r="D124" s="6" t="str">
        <f>IF(C124&lt;=0,"",VLOOKUP(C124,[7]FF!A:D,2,0))</f>
        <v>PARTICIPACIONES Ramo 28</v>
      </c>
      <c r="E124" s="5" t="s">
        <v>368</v>
      </c>
      <c r="F124" s="7" t="s">
        <v>22</v>
      </c>
      <c r="G124" s="8">
        <v>352001</v>
      </c>
      <c r="H124" s="9" t="str">
        <f>IF(G124&lt;=0,"",VLOOKUP(G124,[7]COG!A:H,2,0))</f>
        <v>Mantenimiento de mobiliario y equipo</v>
      </c>
      <c r="I124" s="10">
        <v>0</v>
      </c>
      <c r="J124" s="10">
        <v>696</v>
      </c>
      <c r="K124" s="10">
        <v>0</v>
      </c>
      <c r="L124" s="10"/>
      <c r="M124" s="11">
        <f>SUM(Tabla13455[[#This Row],[TRIMESTRE  I]:[TRIMESTRE IV]])</f>
        <v>696</v>
      </c>
      <c r="N124" s="12" t="s">
        <v>19</v>
      </c>
      <c r="O124" s="13">
        <v>45690</v>
      </c>
      <c r="P124" s="8" t="s">
        <v>361</v>
      </c>
    </row>
    <row r="125" spans="1:16" ht="37.5" customHeight="1" x14ac:dyDescent="0.2">
      <c r="A125" s="3">
        <v>130000</v>
      </c>
      <c r="B125" s="4" t="s">
        <v>367</v>
      </c>
      <c r="C125" s="5">
        <v>530</v>
      </c>
      <c r="D125" s="6" t="str">
        <f>IF(C125&lt;=0,"",VLOOKUP(C125,[7]FF!A:D,2,0))</f>
        <v>PARTICIPACIONES Ramo 28</v>
      </c>
      <c r="E125" s="5" t="s">
        <v>368</v>
      </c>
      <c r="F125" s="7" t="s">
        <v>22</v>
      </c>
      <c r="G125" s="8">
        <v>352002</v>
      </c>
      <c r="H125" s="9" t="str">
        <f>IF(G125&lt;=0,"",VLOOKUP(G125,[7]COG!A:H,2,0))</f>
        <v>Gastos de instalación</v>
      </c>
      <c r="I125" s="10">
        <v>0</v>
      </c>
      <c r="J125" s="10">
        <v>0</v>
      </c>
      <c r="K125" s="10">
        <v>0</v>
      </c>
      <c r="L125" s="10"/>
      <c r="M125" s="11">
        <f>SUM(Tabla13455[[#This Row],[TRIMESTRE  I]:[TRIMESTRE IV]])</f>
        <v>0</v>
      </c>
      <c r="N125" s="12" t="s">
        <v>19</v>
      </c>
      <c r="O125" s="13">
        <v>45690</v>
      </c>
      <c r="P125" s="8" t="s">
        <v>361</v>
      </c>
    </row>
    <row r="126" spans="1:16" ht="37.5" customHeight="1" x14ac:dyDescent="0.2">
      <c r="A126" s="3">
        <v>130000</v>
      </c>
      <c r="B126" s="4" t="s">
        <v>367</v>
      </c>
      <c r="C126" s="5">
        <v>530</v>
      </c>
      <c r="D126" s="6" t="str">
        <f>IF(C126&lt;=0,"",VLOOKUP(C126,[7]FF!A:D,2,0))</f>
        <v>PARTICIPACIONES Ramo 28</v>
      </c>
      <c r="E126" s="5" t="s">
        <v>368</v>
      </c>
      <c r="F126" s="7" t="s">
        <v>22</v>
      </c>
      <c r="G126" s="8">
        <v>355001</v>
      </c>
      <c r="H126" s="9" t="str">
        <f>IF(G126&lt;=0,"",VLOOKUP(G126,[7]COG!A:H,2,0))</f>
        <v>Mantto. y conservación de vehículos terrestres, aéreos, marítimos, lacustres y fluviales</v>
      </c>
      <c r="I126" s="10"/>
      <c r="J126" s="10">
        <v>0</v>
      </c>
      <c r="K126" s="10">
        <f>13108+2552</f>
        <v>15660</v>
      </c>
      <c r="L126" s="10"/>
      <c r="M126" s="11">
        <f>SUM(Tabla13455[[#This Row],[TRIMESTRE  I]:[TRIMESTRE IV]])</f>
        <v>15660</v>
      </c>
      <c r="N126" s="12" t="s">
        <v>19</v>
      </c>
      <c r="O126" s="13">
        <v>45690</v>
      </c>
      <c r="P126" s="8" t="s">
        <v>361</v>
      </c>
    </row>
    <row r="127" spans="1:16" ht="37.5" customHeight="1" x14ac:dyDescent="0.2">
      <c r="A127" s="3">
        <v>130000</v>
      </c>
      <c r="B127" s="4" t="s">
        <v>367</v>
      </c>
      <c r="C127" s="5">
        <v>530</v>
      </c>
      <c r="D127" s="6" t="str">
        <f>IF(C127&lt;=0,"",VLOOKUP(C127,[7]FF!A:D,2,0))</f>
        <v>PARTICIPACIONES Ramo 28</v>
      </c>
      <c r="E127" s="5" t="s">
        <v>368</v>
      </c>
      <c r="F127" s="7" t="s">
        <v>22</v>
      </c>
      <c r="G127" s="8">
        <v>358001</v>
      </c>
      <c r="H127" s="9" t="str">
        <f>IF(G127&lt;=0,"",VLOOKUP(G127,[7]COG!A:H,2,0))</f>
        <v>Servicios de higiene y limpieza</v>
      </c>
      <c r="I127" s="10">
        <v>0</v>
      </c>
      <c r="J127" s="10">
        <v>52472.6</v>
      </c>
      <c r="K127" s="10">
        <f>56898</f>
        <v>56898</v>
      </c>
      <c r="L127" s="10"/>
      <c r="M127" s="11">
        <f>SUM(Tabla13455[[#This Row],[TRIMESTRE  I]:[TRIMESTRE IV]])</f>
        <v>109370.6</v>
      </c>
      <c r="N127" s="12" t="s">
        <v>30</v>
      </c>
      <c r="O127" s="13">
        <v>45690</v>
      </c>
      <c r="P127" s="45" t="s">
        <v>275</v>
      </c>
    </row>
    <row r="128" spans="1:16" ht="37.5" customHeight="1" x14ac:dyDescent="0.2">
      <c r="A128" s="3">
        <v>130000</v>
      </c>
      <c r="B128" s="4" t="s">
        <v>367</v>
      </c>
      <c r="C128" s="5">
        <v>530</v>
      </c>
      <c r="D128" s="6" t="str">
        <f>IF(C128&lt;=0,"",VLOOKUP(C128,[7]FF!A:D,2,0))</f>
        <v>PARTICIPACIONES Ramo 28</v>
      </c>
      <c r="E128" s="5" t="s">
        <v>368</v>
      </c>
      <c r="F128" s="7" t="s">
        <v>22</v>
      </c>
      <c r="G128" s="8">
        <v>358003</v>
      </c>
      <c r="H128" s="87" t="str">
        <f>IF(G128&lt;=0,"",VLOOKUP(G128,[7]COG!A:H,2,0))</f>
        <v>Servicios de Lavandería</v>
      </c>
      <c r="I128" s="10"/>
      <c r="J128" s="10">
        <v>390</v>
      </c>
      <c r="K128" s="10">
        <v>0</v>
      </c>
      <c r="L128" s="10"/>
      <c r="M128" s="11">
        <f>SUM(Tabla13455[[#This Row],[TRIMESTRE  I]:[TRIMESTRE IV]])</f>
        <v>390</v>
      </c>
      <c r="N128" s="12" t="s">
        <v>19</v>
      </c>
      <c r="O128" s="13">
        <v>45749</v>
      </c>
      <c r="P128" s="8" t="s">
        <v>361</v>
      </c>
    </row>
    <row r="129" spans="1:16" ht="37.5" customHeight="1" x14ac:dyDescent="0.2">
      <c r="A129" s="91">
        <v>130000</v>
      </c>
      <c r="B129" s="92" t="s">
        <v>367</v>
      </c>
      <c r="C129" s="8">
        <v>530</v>
      </c>
      <c r="D129" s="93" t="str">
        <f>IF(C129&lt;=0,"",VLOOKUP(C129,[7]FF!A:D,2,0))</f>
        <v>PARTICIPACIONES Ramo 28</v>
      </c>
      <c r="E129" s="8" t="s">
        <v>368</v>
      </c>
      <c r="F129" s="23" t="s">
        <v>22</v>
      </c>
      <c r="G129" s="8">
        <v>361002</v>
      </c>
      <c r="H129" s="9" t="str">
        <f>IF(G129&lt;=0,"",VLOOKUP(G129,[7]COG!A:H,2,0))</f>
        <v>Impresiones y publicaciones oficiales</v>
      </c>
      <c r="I129" s="10">
        <v>0</v>
      </c>
      <c r="J129" s="10">
        <v>0</v>
      </c>
      <c r="K129" s="10">
        <v>0</v>
      </c>
      <c r="L129" s="10"/>
      <c r="M129" s="11">
        <f>SUM(Tabla13455[[#This Row],[TRIMESTRE  I]:[TRIMESTRE IV]])</f>
        <v>0</v>
      </c>
      <c r="N129" s="12" t="s">
        <v>19</v>
      </c>
      <c r="O129" s="13">
        <v>45690</v>
      </c>
      <c r="P129" s="8" t="s">
        <v>361</v>
      </c>
    </row>
    <row r="130" spans="1:16" ht="37.5" customHeight="1" x14ac:dyDescent="0.2">
      <c r="A130" s="3">
        <v>130000</v>
      </c>
      <c r="B130" s="4" t="s">
        <v>367</v>
      </c>
      <c r="C130" s="5">
        <v>530</v>
      </c>
      <c r="D130" s="6" t="str">
        <f>IF(C130&lt;=0,"",VLOOKUP(C130,[7]FF!A:D,2,0))</f>
        <v>PARTICIPACIONES Ramo 28</v>
      </c>
      <c r="E130" s="5" t="s">
        <v>368</v>
      </c>
      <c r="F130" s="7" t="s">
        <v>22</v>
      </c>
      <c r="G130" s="8">
        <v>371001</v>
      </c>
      <c r="H130" s="9" t="str">
        <f>IF(G130&lt;=0,"",VLOOKUP(G130,[7]COG!A:H,2,0))</f>
        <v>Pasajes aéreos</v>
      </c>
      <c r="I130" s="10">
        <v>0</v>
      </c>
      <c r="J130" s="10">
        <f>40548+22530</f>
        <v>63078</v>
      </c>
      <c r="K130" s="10">
        <f>30209</f>
        <v>30209</v>
      </c>
      <c r="L130" s="10"/>
      <c r="M130" s="11">
        <f>SUM(Tabla13455[[#This Row],[TRIMESTRE  I]:[TRIMESTRE IV]])</f>
        <v>93287</v>
      </c>
      <c r="N130" s="12" t="s">
        <v>17</v>
      </c>
      <c r="O130" s="13">
        <v>45690</v>
      </c>
      <c r="P130" s="8" t="s">
        <v>364</v>
      </c>
    </row>
    <row r="131" spans="1:16" ht="37.5" customHeight="1" x14ac:dyDescent="0.2">
      <c r="A131" s="3">
        <v>130000</v>
      </c>
      <c r="B131" s="4" t="s">
        <v>367</v>
      </c>
      <c r="C131" s="5">
        <v>530</v>
      </c>
      <c r="D131" s="6" t="str">
        <f>IF(C131&lt;=0,"",VLOOKUP(C131,[7]FF!A:D,2,0))</f>
        <v>PARTICIPACIONES Ramo 28</v>
      </c>
      <c r="E131" s="5" t="s">
        <v>368</v>
      </c>
      <c r="F131" s="7" t="s">
        <v>22</v>
      </c>
      <c r="G131" s="8">
        <v>375001</v>
      </c>
      <c r="H131" s="9" t="str">
        <f>IF(G131&lt;=0,"",VLOOKUP(G131,[7]COG!A:H,2,0))</f>
        <v>Viáticos</v>
      </c>
      <c r="I131" s="10">
        <f>27384.22+35457.12</f>
        <v>62841.340000000004</v>
      </c>
      <c r="J131" s="10">
        <f>62918.27+39459.88</f>
        <v>102378.15</v>
      </c>
      <c r="K131" s="10">
        <f>30848.12+14000.04+1327.84</f>
        <v>46176</v>
      </c>
      <c r="L131" s="10"/>
      <c r="M131" s="11">
        <f>SUM(Tabla13455[[#This Row],[TRIMESTRE  I]:[TRIMESTRE IV]])</f>
        <v>211395.49</v>
      </c>
      <c r="N131" s="12"/>
      <c r="O131" s="13"/>
      <c r="P131" s="8" t="s">
        <v>361</v>
      </c>
    </row>
    <row r="132" spans="1:16" ht="37.5" customHeight="1" x14ac:dyDescent="0.2">
      <c r="A132" s="3">
        <v>130000</v>
      </c>
      <c r="B132" s="4" t="s">
        <v>367</v>
      </c>
      <c r="C132" s="5">
        <v>530</v>
      </c>
      <c r="D132" s="6" t="str">
        <f>IF(C132&lt;=0,"",VLOOKUP(C132,[7]FF!A:D,2,0))</f>
        <v>PARTICIPACIONES Ramo 28</v>
      </c>
      <c r="E132" s="5" t="s">
        <v>368</v>
      </c>
      <c r="F132" s="7" t="s">
        <v>22</v>
      </c>
      <c r="G132" s="8">
        <v>382004</v>
      </c>
      <c r="H132" s="87" t="str">
        <f>IF(G132&lt;=0,"",VLOOKUP(G132,[7]COG!A:H,2,0))</f>
        <v>Festividades y Eventos</v>
      </c>
      <c r="I132" s="10"/>
      <c r="J132" s="10">
        <v>6449.5</v>
      </c>
      <c r="K132" s="10">
        <v>0</v>
      </c>
      <c r="L132" s="10"/>
      <c r="M132" s="11">
        <f>SUM(Tabla13455[[#This Row],[TRIMESTRE  I]:[TRIMESTRE IV]])</f>
        <v>6449.5</v>
      </c>
      <c r="N132" s="12" t="s">
        <v>19</v>
      </c>
      <c r="O132" s="13">
        <v>45749</v>
      </c>
      <c r="P132" s="8" t="s">
        <v>361</v>
      </c>
    </row>
    <row r="133" spans="1:16" ht="37.5" customHeight="1" x14ac:dyDescent="0.2">
      <c r="A133" s="3">
        <v>130000</v>
      </c>
      <c r="B133" s="4" t="s">
        <v>367</v>
      </c>
      <c r="C133" s="5">
        <v>530</v>
      </c>
      <c r="D133" s="6" t="str">
        <f>IF(C133&lt;=0,"",VLOOKUP(C133,[7]FF!A:D,2,0))</f>
        <v>PARTICIPACIONES Ramo 28</v>
      </c>
      <c r="E133" s="5" t="s">
        <v>368</v>
      </c>
      <c r="F133" s="7" t="s">
        <v>22</v>
      </c>
      <c r="G133" s="8">
        <v>383001</v>
      </c>
      <c r="H133" s="9" t="str">
        <f>IF(G133&lt;=0,"",VLOOKUP(G133,[7]COG!A:H,2,0))</f>
        <v>Congresos y convenciones</v>
      </c>
      <c r="I133" s="10">
        <v>0</v>
      </c>
      <c r="J133" s="10">
        <v>0</v>
      </c>
      <c r="K133" s="10">
        <v>0</v>
      </c>
      <c r="L133" s="10"/>
      <c r="M133" s="11">
        <f>SUM(Tabla13455[[#This Row],[TRIMESTRE  I]:[TRIMESTRE IV]])</f>
        <v>0</v>
      </c>
      <c r="N133" s="12" t="s">
        <v>19</v>
      </c>
      <c r="O133" s="13">
        <v>45690</v>
      </c>
      <c r="P133" s="8" t="s">
        <v>361</v>
      </c>
    </row>
    <row r="134" spans="1:16" ht="37.5" customHeight="1" x14ac:dyDescent="0.2">
      <c r="A134" s="3">
        <v>130000</v>
      </c>
      <c r="B134" s="4" t="s">
        <v>367</v>
      </c>
      <c r="C134" s="5">
        <v>530</v>
      </c>
      <c r="D134" s="6" t="str">
        <f>IF(C134&lt;=0,"",VLOOKUP(C134,[7]FF!A:D,2,0))</f>
        <v>PARTICIPACIONES Ramo 28</v>
      </c>
      <c r="E134" s="5" t="s">
        <v>368</v>
      </c>
      <c r="F134" s="7" t="s">
        <v>22</v>
      </c>
      <c r="G134" s="8">
        <v>392001</v>
      </c>
      <c r="H134" s="9" t="str">
        <f>IF(G134&lt;=0,"",VLOOKUP(G134,[7]COG!A:H,2,0))</f>
        <v>Impuestos y derechos</v>
      </c>
      <c r="I134" s="10">
        <v>0</v>
      </c>
      <c r="J134" s="10">
        <v>0</v>
      </c>
      <c r="K134" s="10">
        <v>0</v>
      </c>
      <c r="L134" s="10"/>
      <c r="M134" s="11">
        <f>SUM(Tabla13455[[#This Row],[TRIMESTRE  I]:[TRIMESTRE IV]])</f>
        <v>0</v>
      </c>
      <c r="N134" s="12" t="s">
        <v>19</v>
      </c>
      <c r="O134" s="13"/>
      <c r="P134" s="8" t="s">
        <v>361</v>
      </c>
    </row>
    <row r="135" spans="1:16" ht="37.5" customHeight="1" x14ac:dyDescent="0.2">
      <c r="A135" s="3">
        <v>13000</v>
      </c>
      <c r="B135" s="3" t="s">
        <v>370</v>
      </c>
      <c r="C135" s="5">
        <v>530</v>
      </c>
      <c r="D135" s="6" t="str">
        <f>IF(C135&lt;=0,"",VLOOKUP(C135,[7]FF!A:D,2,0))</f>
        <v>PARTICIPACIONES Ramo 28</v>
      </c>
      <c r="E135" s="5" t="s">
        <v>371</v>
      </c>
      <c r="F135" s="7" t="s">
        <v>15</v>
      </c>
      <c r="G135" s="8">
        <v>211001</v>
      </c>
      <c r="H135" s="9" t="str">
        <f>IF(G135&lt;=0,"",VLOOKUP(G135,[7]COG!A:H,2,0))</f>
        <v>Material de oficina</v>
      </c>
      <c r="I135" s="10">
        <v>0</v>
      </c>
      <c r="J135" s="10">
        <v>0</v>
      </c>
      <c r="K135" s="10">
        <v>5095.42</v>
      </c>
      <c r="L135" s="10"/>
      <c r="M135" s="11">
        <f>SUM(Tabla13455[[#This Row],[TRIMESTRE  I]:[TRIMESTRE IV]])</f>
        <v>5095.42</v>
      </c>
      <c r="N135" s="12" t="s">
        <v>17</v>
      </c>
      <c r="O135" s="13">
        <v>45690</v>
      </c>
      <c r="P135" s="8" t="s">
        <v>61</v>
      </c>
    </row>
    <row r="136" spans="1:16" ht="37.5" customHeight="1" x14ac:dyDescent="0.2">
      <c r="A136" s="3">
        <v>13000</v>
      </c>
      <c r="B136" s="3" t="s">
        <v>370</v>
      </c>
      <c r="C136" s="5">
        <v>530</v>
      </c>
      <c r="D136" s="6" t="str">
        <f>IF(C136&lt;=0,"",VLOOKUP(C136,[7]FF!A:D,2,0))</f>
        <v>PARTICIPACIONES Ramo 28</v>
      </c>
      <c r="E136" s="5" t="s">
        <v>371</v>
      </c>
      <c r="F136" s="7" t="s">
        <v>15</v>
      </c>
      <c r="G136" s="8">
        <v>212001</v>
      </c>
      <c r="H136" s="9" t="str">
        <f>IF(G136&lt;=0,"",VLOOKUP(G136,[7]COG!A:H,2,0))</f>
        <v>Material y útiles de impresión</v>
      </c>
      <c r="I136" s="10">
        <v>0</v>
      </c>
      <c r="J136" s="10">
        <v>0</v>
      </c>
      <c r="K136" s="10">
        <v>0</v>
      </c>
      <c r="L136" s="10"/>
      <c r="M136" s="11">
        <f>SUM(Tabla13455[[#This Row],[TRIMESTRE  I]:[TRIMESTRE IV]])</f>
        <v>0</v>
      </c>
      <c r="N136" s="12" t="s">
        <v>19</v>
      </c>
      <c r="O136" s="13">
        <v>45690</v>
      </c>
      <c r="P136" s="8" t="s">
        <v>361</v>
      </c>
    </row>
    <row r="137" spans="1:16" ht="37.5" customHeight="1" x14ac:dyDescent="0.2">
      <c r="A137" s="3">
        <v>13000</v>
      </c>
      <c r="B137" s="3" t="s">
        <v>370</v>
      </c>
      <c r="C137" s="5">
        <v>530</v>
      </c>
      <c r="D137" s="6" t="str">
        <f>IF(C137&lt;=0,"",VLOOKUP(C137,[7]FF!A:D,2,0))</f>
        <v>PARTICIPACIONES Ramo 28</v>
      </c>
      <c r="E137" s="5" t="s">
        <v>371</v>
      </c>
      <c r="F137" s="7" t="s">
        <v>15</v>
      </c>
      <c r="G137" s="8">
        <v>261001</v>
      </c>
      <c r="H137" s="9" t="str">
        <f>IF(G137&lt;=0,"",VLOOKUP(G137,[7]COG!A:H,2,0))</f>
        <v>Combustibles</v>
      </c>
      <c r="I137" s="10">
        <v>0</v>
      </c>
      <c r="J137" s="10">
        <v>0</v>
      </c>
      <c r="K137" s="10">
        <f>23373.48</f>
        <v>23373.48</v>
      </c>
      <c r="L137" s="10"/>
      <c r="M137" s="11">
        <f>SUM(Tabla13455[[#This Row],[TRIMESTRE  I]:[TRIMESTRE IV]])</f>
        <v>23373.48</v>
      </c>
      <c r="N137" s="12" t="s">
        <v>17</v>
      </c>
      <c r="O137" s="13" t="s">
        <v>314</v>
      </c>
      <c r="P137" s="8" t="s">
        <v>61</v>
      </c>
    </row>
    <row r="138" spans="1:16" ht="37.5" customHeight="1" x14ac:dyDescent="0.2">
      <c r="A138" s="3">
        <v>13000</v>
      </c>
      <c r="B138" s="3" t="s">
        <v>370</v>
      </c>
      <c r="C138" s="5">
        <v>530</v>
      </c>
      <c r="D138" s="6" t="str">
        <f>IF(C138&lt;=0,"",VLOOKUP(C138,[7]FF!A:D,2,0))</f>
        <v>PARTICIPACIONES Ramo 28</v>
      </c>
      <c r="E138" s="5" t="s">
        <v>371</v>
      </c>
      <c r="F138" s="7" t="s">
        <v>15</v>
      </c>
      <c r="G138" s="8">
        <v>271001</v>
      </c>
      <c r="H138" s="9" t="str">
        <f>IF(G138&lt;=0,"",VLOOKUP(G138,[7]COG!A:H,2,0))</f>
        <v>Ropa, vestuario y equipo</v>
      </c>
      <c r="I138" s="10">
        <v>0</v>
      </c>
      <c r="J138" s="10">
        <v>0</v>
      </c>
      <c r="K138" s="10">
        <v>0</v>
      </c>
      <c r="L138" s="10"/>
      <c r="M138" s="11">
        <f>SUM(Tabla13455[[#This Row],[TRIMESTRE  I]:[TRIMESTRE IV]])</f>
        <v>0</v>
      </c>
      <c r="N138" s="12" t="s">
        <v>17</v>
      </c>
      <c r="O138" s="13"/>
      <c r="P138" s="8" t="s">
        <v>361</v>
      </c>
    </row>
    <row r="139" spans="1:16" ht="37.5" customHeight="1" x14ac:dyDescent="0.2">
      <c r="A139" s="3">
        <v>13000</v>
      </c>
      <c r="B139" s="3" t="s">
        <v>370</v>
      </c>
      <c r="C139" s="5">
        <v>530</v>
      </c>
      <c r="D139" s="6" t="str">
        <f>IF(C139&lt;=0,"",VLOOKUP(C139,[7]FF!A:D,2,0))</f>
        <v>PARTICIPACIONES Ramo 28</v>
      </c>
      <c r="E139" s="5" t="s">
        <v>371</v>
      </c>
      <c r="F139" s="7" t="s">
        <v>22</v>
      </c>
      <c r="G139" s="8">
        <v>325001</v>
      </c>
      <c r="H139" s="9" t="str">
        <f>IF(G139&lt;=0,"",VLOOKUP(G139,[7]COG!A:H,2,0))</f>
        <v>Arrendamiento de equipo de transporte</v>
      </c>
      <c r="I139" s="10">
        <v>0</v>
      </c>
      <c r="J139" s="10">
        <v>0</v>
      </c>
      <c r="K139" s="10">
        <v>0</v>
      </c>
      <c r="L139" s="10"/>
      <c r="M139" s="11">
        <f>SUM(Tabla13455[[#This Row],[TRIMESTRE  I]:[TRIMESTRE IV]])</f>
        <v>0</v>
      </c>
      <c r="N139" s="12" t="s">
        <v>19</v>
      </c>
      <c r="O139" s="13"/>
      <c r="P139" s="8"/>
    </row>
    <row r="140" spans="1:16" ht="37.5" customHeight="1" x14ac:dyDescent="0.2">
      <c r="A140" s="3">
        <v>13000</v>
      </c>
      <c r="B140" s="3" t="s">
        <v>370</v>
      </c>
      <c r="C140" s="5">
        <v>530</v>
      </c>
      <c r="D140" s="6" t="str">
        <f>IF(C140&lt;=0,"",VLOOKUP(C140,[7]FF!A:D,2,0))</f>
        <v>PARTICIPACIONES Ramo 28</v>
      </c>
      <c r="E140" s="5" t="s">
        <v>371</v>
      </c>
      <c r="F140" s="7" t="s">
        <v>22</v>
      </c>
      <c r="G140" s="8">
        <v>336001</v>
      </c>
      <c r="H140" s="9" t="str">
        <f>IF(G140&lt;=0,"",VLOOKUP(G140,[7]COG!A:H,2,0))</f>
        <v>Servicio de Fotocopiado, Enmicado y Encuadernación de Documentos.</v>
      </c>
      <c r="I140" s="10">
        <v>0</v>
      </c>
      <c r="J140" s="10">
        <v>0</v>
      </c>
      <c r="K140" s="10">
        <f>278455.99</f>
        <v>278455.99</v>
      </c>
      <c r="L140" s="10"/>
      <c r="M140" s="11">
        <f>SUM(Tabla13455[[#This Row],[TRIMESTRE  I]:[TRIMESTRE IV]])</f>
        <v>278455.99</v>
      </c>
      <c r="N140" s="12" t="s">
        <v>363</v>
      </c>
      <c r="O140" s="13">
        <v>45690</v>
      </c>
      <c r="P140" s="8" t="s">
        <v>361</v>
      </c>
    </row>
    <row r="141" spans="1:16" ht="37.5" customHeight="1" x14ac:dyDescent="0.2">
      <c r="A141" s="3">
        <v>13000</v>
      </c>
      <c r="B141" s="3" t="s">
        <v>370</v>
      </c>
      <c r="C141" s="5">
        <v>530</v>
      </c>
      <c r="D141" s="6" t="str">
        <f>IF(C141&lt;=0,"",VLOOKUP(C141,[7]FF!A:D,2,0))</f>
        <v>PARTICIPACIONES Ramo 28</v>
      </c>
      <c r="E141" s="5" t="s">
        <v>371</v>
      </c>
      <c r="F141" s="7" t="s">
        <v>22</v>
      </c>
      <c r="G141" s="8">
        <v>371001</v>
      </c>
      <c r="H141" s="9" t="str">
        <f>IF(G141&lt;=0,"",VLOOKUP(G141,[7]COG!A:H,2,0))</f>
        <v>Pasajes aéreos</v>
      </c>
      <c r="I141" s="10">
        <v>0</v>
      </c>
      <c r="J141" s="10">
        <v>0</v>
      </c>
      <c r="K141" s="10">
        <v>5013</v>
      </c>
      <c r="L141" s="10"/>
      <c r="M141" s="11">
        <f>SUM(Tabla13455[[#This Row],[TRIMESTRE  I]:[TRIMESTRE IV]])</f>
        <v>5013</v>
      </c>
      <c r="N141" s="12" t="s">
        <v>363</v>
      </c>
      <c r="O141" s="13">
        <v>45690</v>
      </c>
      <c r="P141" s="8" t="s">
        <v>361</v>
      </c>
    </row>
    <row r="142" spans="1:16" ht="37.5" customHeight="1" x14ac:dyDescent="0.2">
      <c r="A142" s="3">
        <v>13000</v>
      </c>
      <c r="B142" s="3" t="s">
        <v>370</v>
      </c>
      <c r="C142" s="5">
        <v>530</v>
      </c>
      <c r="D142" s="6" t="str">
        <f>IF(C142&lt;=0,"",VLOOKUP(C142,[7]FF!A:D,2,0))</f>
        <v>PARTICIPACIONES Ramo 28</v>
      </c>
      <c r="E142" s="5" t="s">
        <v>371</v>
      </c>
      <c r="F142" s="7" t="s">
        <v>22</v>
      </c>
      <c r="G142" s="8">
        <v>375001</v>
      </c>
      <c r="H142" s="9" t="str">
        <f>IF(G142&lt;=0,"",VLOOKUP(G142,[7]COG!A:H,2,0))</f>
        <v>Viáticos</v>
      </c>
      <c r="I142" s="10">
        <v>7341.6</v>
      </c>
      <c r="J142" s="10">
        <v>14019.28</v>
      </c>
      <c r="K142" s="10">
        <f>7967.04</f>
        <v>7967.04</v>
      </c>
      <c r="L142" s="10"/>
      <c r="M142" s="11">
        <f>SUM(Tabla13455[[#This Row],[TRIMESTRE  I]:[TRIMESTRE IV]])</f>
        <v>29327.920000000002</v>
      </c>
      <c r="N142" s="12"/>
      <c r="O142" s="13"/>
      <c r="P142" s="8" t="s">
        <v>361</v>
      </c>
    </row>
    <row r="143" spans="1:16" ht="37.5" customHeight="1" x14ac:dyDescent="0.2">
      <c r="A143" s="3">
        <v>13000</v>
      </c>
      <c r="B143" s="3" t="s">
        <v>370</v>
      </c>
      <c r="C143" s="5">
        <v>530</v>
      </c>
      <c r="D143" s="6" t="str">
        <f>IF(C143&lt;=0,"",VLOOKUP(C143,[7]FF!A:D,2,0))</f>
        <v>PARTICIPACIONES Ramo 28</v>
      </c>
      <c r="E143" s="5" t="s">
        <v>371</v>
      </c>
      <c r="F143" s="7" t="s">
        <v>22</v>
      </c>
      <c r="G143" s="8">
        <v>376001</v>
      </c>
      <c r="H143" s="9" t="str">
        <f>IF(G143&lt;=0,"",VLOOKUP(G143,[7]COG!A:H,2,0))</f>
        <v>Viáticos en el extranjero</v>
      </c>
      <c r="I143" s="10">
        <v>21902.400000000001</v>
      </c>
      <c r="J143" s="10">
        <v>0</v>
      </c>
      <c r="K143" s="10">
        <v>0</v>
      </c>
      <c r="L143" s="10">
        <v>0</v>
      </c>
      <c r="M143" s="11">
        <f>SUM(Tabla13455[[#This Row],[TRIMESTRE  I]:[TRIMESTRE IV]])</f>
        <v>21902.400000000001</v>
      </c>
      <c r="N143" s="12"/>
      <c r="O143" s="13"/>
      <c r="P143" s="8"/>
    </row>
    <row r="144" spans="1:16" ht="37.5" customHeight="1" x14ac:dyDescent="0.2">
      <c r="A144" s="3"/>
      <c r="B144" s="3"/>
      <c r="C144" s="5"/>
      <c r="D144" s="6"/>
      <c r="E144" s="5"/>
      <c r="F144" s="7"/>
      <c r="G144" s="8"/>
      <c r="H144" s="9"/>
      <c r="I144" s="10"/>
      <c r="J144" s="10"/>
      <c r="K144" s="10"/>
      <c r="L144" s="10"/>
      <c r="M144" s="11"/>
      <c r="N144" s="12"/>
      <c r="O144" s="13"/>
      <c r="P144" s="8"/>
    </row>
    <row r="145" spans="1:27" ht="37.5" customHeight="1" thickBot="1" x14ac:dyDescent="0.25">
      <c r="A145" s="97"/>
      <c r="B145" s="98"/>
      <c r="C145" s="99"/>
      <c r="D145" s="100"/>
      <c r="E145" s="99"/>
      <c r="F145" s="99"/>
      <c r="G145" s="101"/>
      <c r="H145" s="102" t="s">
        <v>32</v>
      </c>
      <c r="I145" s="103"/>
      <c r="J145" s="103"/>
      <c r="K145" s="104"/>
      <c r="L145" s="103"/>
      <c r="M145" s="105">
        <f>SUBTOTAL(109,Tabla13455[[PRESUPUESTO ANUAL AUTORIZADO ]])</f>
        <v>5384624.5200000014</v>
      </c>
      <c r="N145" s="103"/>
      <c r="O145" s="103"/>
      <c r="P145" s="10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spans="1:27" ht="37.5" customHeight="1" thickTop="1" x14ac:dyDescent="0.25">
      <c r="J146" s="94">
        <f>SUM(J5:J143)</f>
        <v>2201225.2799999998</v>
      </c>
      <c r="M146" s="95"/>
    </row>
    <row r="147" spans="1:27" ht="37.5" customHeight="1" x14ac:dyDescent="0.2">
      <c r="N147" s="11"/>
      <c r="O147" s="74"/>
      <c r="P147" s="45"/>
    </row>
    <row r="148" spans="1:27" ht="37.5" customHeight="1" x14ac:dyDescent="0.2">
      <c r="J148" s="96"/>
      <c r="M148" s="80"/>
    </row>
  </sheetData>
  <protectedRanges>
    <protectedRange algorithmName="SHA-512" hashValue="CVDb5J/0TlFD03lqit9XaA7LbCMGvWLCsduA3v8dImZEGhWfzgZ6Dg6bkjbAbJm1bYAcMLcpovU/dJmuMze5jw==" saltValue="QZ4X9aU2cO4/tAPW6011Dw==" spinCount="100000" sqref="N32:P35 P139 N144:P145 N5:O6 N127 N53:N56 N71:N73 N115:N116 N135:N136 N36:N38 N7:N18 N86:N98" name="EDITABLE 4"/>
    <protectedRange algorithmName="SHA-512" hashValue="ytsoXFfC1+WmXVaa1/e6XfcZ7vPjNmSnuZe33NqN4NcqbRxNJdzSGuklMRpskJNPYNNz1yZQe585JE4aSLisOg==" saltValue="/jSLFmNX0mB2vn2qhSJbtw==" spinCount="100000" sqref="I5:L6 J130:L140 I131:I140 I8:L128 I141:L145" name="EDITABLE 3"/>
    <protectedRange algorithmName="SHA-512" hashValue="pJNw8ysPJcfMEDlzTgza0siiHuU4FkUpIzbuTX325DFaYD5nL5ng0z0JoIGpE+CYch2hq/LccMqSM51MpHojPQ==" saltValue="xv9nj4u85CXs/Kmy5tmlKw==" spinCount="100000" sqref="F5:G85 E86:G145" name="EDITABLE 2"/>
    <protectedRange algorithmName="SHA-512" hashValue="Lst7hsT/mUUQvFsOUalIdMZhSjExDj/C7u4r1gIjHREwBj16N7lqODQ0CY6n+RXalo774Zm4aYZKVBS0n4XIeg==" saltValue="KfnRR/cqfK967zBK52Zr6A==" spinCount="100000" sqref="A5:C145" name="EDITABLE 1"/>
    <protectedRange algorithmName="SHA-512" hashValue="pJNw8ysPJcfMEDlzTgza0siiHuU4FkUpIzbuTX325DFaYD5nL5ng0z0JoIGpE+CYch2hq/LccMqSM51MpHojPQ==" saltValue="xv9nj4u85CXs/Kmy5tmlKw==" spinCount="100000" sqref="E5:E85" name="EDITABLE 2_1"/>
    <protectedRange algorithmName="SHA-512" hashValue="ytsoXFfC1+WmXVaa1/e6XfcZ7vPjNmSnuZe33NqN4NcqbRxNJdzSGuklMRpskJNPYNNz1yZQe585JE4aSLisOg==" saltValue="/jSLFmNX0mB2vn2qhSJbtw==" spinCount="100000" sqref="I7:L7" name="EDITABLE 3_9"/>
    <protectedRange algorithmName="SHA-512" hashValue="CVDb5J/0TlFD03lqit9XaA7LbCMGvWLCsduA3v8dImZEGhWfzgZ6Dg6bkjbAbJm1bYAcMLcpovU/dJmuMze5jw==" saltValue="QZ4X9aU2cO4/tAPW6011Dw==" spinCount="100000" sqref="P5:P6 P71 P86 P135" name="EDITABLE 4_1"/>
    <protectedRange algorithmName="SHA-512" hashValue="CVDb5J/0TlFD03lqit9XaA7LbCMGvWLCsduA3v8dImZEGhWfzgZ6Dg6bkjbAbJm1bYAcMLcpovU/dJmuMze5jw==" saltValue="QZ4X9aU2cO4/tAPW6011Dw==" spinCount="100000" sqref="P7 P72 P87 P136" name="EDITABLE 4_2"/>
    <protectedRange algorithmName="SHA-512" hashValue="CVDb5J/0TlFD03lqit9XaA7LbCMGvWLCsduA3v8dImZEGhWfzgZ6Dg6bkjbAbJm1bYAcMLcpovU/dJmuMze5jw==" saltValue="QZ4X9aU2cO4/tAPW6011Dw==" spinCount="100000" sqref="P8 P88" name="EDITABLE 4_3"/>
    <protectedRange algorithmName="SHA-512" hashValue="CVDb5J/0TlFD03lqit9XaA7LbCMGvWLCsduA3v8dImZEGhWfzgZ6Dg6bkjbAbJm1bYAcMLcpovU/dJmuMze5jw==" saltValue="QZ4X9aU2cO4/tAPW6011Dw==" spinCount="100000" sqref="P9 P73 P89" name="EDITABLE 4_4"/>
    <protectedRange algorithmName="SHA-512" hashValue="CVDb5J/0TlFD03lqit9XaA7LbCMGvWLCsduA3v8dImZEGhWfzgZ6Dg6bkjbAbJm1bYAcMLcpovU/dJmuMze5jw==" saltValue="QZ4X9aU2cO4/tAPW6011Dw==" spinCount="100000" sqref="P10" name="EDITABLE 4_5"/>
    <protectedRange algorithmName="SHA-512" hashValue="CVDb5J/0TlFD03lqit9XaA7LbCMGvWLCsduA3v8dImZEGhWfzgZ6Dg6bkjbAbJm1bYAcMLcpovU/dJmuMze5jw==" saltValue="QZ4X9aU2cO4/tAPW6011Dw==" spinCount="100000" sqref="P11 P90" name="EDITABLE 4_6"/>
    <protectedRange algorithmName="SHA-512" hashValue="CVDb5J/0TlFD03lqit9XaA7LbCMGvWLCsduA3v8dImZEGhWfzgZ6Dg6bkjbAbJm1bYAcMLcpovU/dJmuMze5jw==" saltValue="QZ4X9aU2cO4/tAPW6011Dw==" spinCount="100000" sqref="P12:P13 P91:P92" name="EDITABLE 4_7"/>
    <protectedRange algorithmName="SHA-512" hashValue="CVDb5J/0TlFD03lqit9XaA7LbCMGvWLCsduA3v8dImZEGhWfzgZ6Dg6bkjbAbJm1bYAcMLcpovU/dJmuMze5jw==" saltValue="QZ4X9aU2cO4/tAPW6011Dw==" spinCount="100000" sqref="P14" name="EDITABLE 4_8"/>
    <protectedRange algorithmName="SHA-512" hashValue="CVDb5J/0TlFD03lqit9XaA7LbCMGvWLCsduA3v8dImZEGhWfzgZ6Dg6bkjbAbJm1bYAcMLcpovU/dJmuMze5jw==" saltValue="QZ4X9aU2cO4/tAPW6011Dw==" spinCount="100000" sqref="P93:P95 P97:P98" name="EDITABLE 4_9"/>
    <protectedRange algorithmName="SHA-512" hashValue="CVDb5J/0TlFD03lqit9XaA7LbCMGvWLCsduA3v8dImZEGhWfzgZ6Dg6bkjbAbJm1bYAcMLcpovU/dJmuMze5jw==" saltValue="QZ4X9aU2cO4/tAPW6011Dw==" spinCount="100000" sqref="P15" name="EDITABLE 4_11"/>
    <protectedRange algorithmName="SHA-512" hashValue="CVDb5J/0TlFD03lqit9XaA7LbCMGvWLCsduA3v8dImZEGhWfzgZ6Dg6bkjbAbJm1bYAcMLcpovU/dJmuMze5jw==" saltValue="QZ4X9aU2cO4/tAPW6011Dw==" spinCount="100000" sqref="P16:P18" name="EDITABLE 4_12"/>
    <protectedRange algorithmName="SHA-512" hashValue="CVDb5J/0TlFD03lqit9XaA7LbCMGvWLCsduA3v8dImZEGhWfzgZ6Dg6bkjbAbJm1bYAcMLcpovU/dJmuMze5jw==" saltValue="QZ4X9aU2cO4/tAPW6011Dw==" spinCount="100000" sqref="P96" name="EDITABLE 4_13"/>
    <protectedRange algorithmName="SHA-512" hashValue="CVDb5J/0TlFD03lqit9XaA7LbCMGvWLCsduA3v8dImZEGhWfzgZ6Dg6bkjbAbJm1bYAcMLcpovU/dJmuMze5jw==" saltValue="QZ4X9aU2cO4/tAPW6011Dw==" spinCount="100000" sqref="N19:N21 P19:P21 N99:N100 P99:P100" name="EDITABLE 4_15"/>
    <protectedRange algorithmName="SHA-512" hashValue="CVDb5J/0TlFD03lqit9XaA7LbCMGvWLCsduA3v8dImZEGhWfzgZ6Dg6bkjbAbJm1bYAcMLcpovU/dJmuMze5jw==" saltValue="QZ4X9aU2cO4/tAPW6011Dw==" spinCount="100000" sqref="N22 N101 P22 P74 P101 P137 N24 N74:N75 N103 N137:N138" name="EDITABLE 4_16"/>
    <protectedRange algorithmName="SHA-512" hashValue="CVDb5J/0TlFD03lqit9XaA7LbCMGvWLCsduA3v8dImZEGhWfzgZ6Dg6bkjbAbJm1bYAcMLcpovU/dJmuMze5jw==" saltValue="QZ4X9aU2cO4/tAPW6011Dw==" spinCount="100000" sqref="N23 P23:P24" name="EDITABLE 4_17"/>
    <protectedRange algorithmName="SHA-512" hashValue="CVDb5J/0TlFD03lqit9XaA7LbCMGvWLCsduA3v8dImZEGhWfzgZ6Dg6bkjbAbJm1bYAcMLcpovU/dJmuMze5jw==" saltValue="QZ4X9aU2cO4/tAPW6011Dw==" spinCount="100000" sqref="P75" name="EDITABLE 4_18"/>
    <protectedRange algorithmName="SHA-512" hashValue="CVDb5J/0TlFD03lqit9XaA7LbCMGvWLCsduA3v8dImZEGhWfzgZ6Dg6bkjbAbJm1bYAcMLcpovU/dJmuMze5jw==" saltValue="QZ4X9aU2cO4/tAPW6011Dw==" spinCount="100000" sqref="N102 P102:P103" name="EDITABLE 4_19"/>
    <protectedRange algorithmName="SHA-512" hashValue="CVDb5J/0TlFD03lqit9XaA7LbCMGvWLCsduA3v8dImZEGhWfzgZ6Dg6bkjbAbJm1bYAcMLcpovU/dJmuMze5jw==" saltValue="QZ4X9aU2cO4/tAPW6011Dw==" spinCount="100000" sqref="O138:P138 N139:O139" name="EDITABLE 4_20"/>
    <protectedRange algorithmName="SHA-512" hashValue="CVDb5J/0TlFD03lqit9XaA7LbCMGvWLCsduA3v8dImZEGhWfzgZ6Dg6bkjbAbJm1bYAcMLcpovU/dJmuMze5jw==" saltValue="QZ4X9aU2cO4/tAPW6011Dw==" spinCount="100000" sqref="P76 N76:N77" name="EDITABLE 4_22"/>
    <protectedRange algorithmName="SHA-512" hashValue="CVDb5J/0TlFD03lqit9XaA7LbCMGvWLCsduA3v8dImZEGhWfzgZ6Dg6bkjbAbJm1bYAcMLcpovU/dJmuMze5jw==" saltValue="QZ4X9aU2cO4/tAPW6011Dw==" spinCount="100000" sqref="N104 P104" name="EDITABLE 4_23"/>
    <protectedRange algorithmName="SHA-512" hashValue="CVDb5J/0TlFD03lqit9XaA7LbCMGvWLCsduA3v8dImZEGhWfzgZ6Dg6bkjbAbJm1bYAcMLcpovU/dJmuMze5jw==" saltValue="QZ4X9aU2cO4/tAPW6011Dw==" spinCount="100000" sqref="N25:N27 P25:P27" name="EDITABLE 4_24"/>
    <protectedRange algorithmName="SHA-512" hashValue="CVDb5J/0TlFD03lqit9XaA7LbCMGvWLCsduA3v8dImZEGhWfzgZ6Dg6bkjbAbJm1bYAcMLcpovU/dJmuMze5jw==" saltValue="QZ4X9aU2cO4/tAPW6011Dw==" spinCount="100000" sqref="N105:N107 P105:P107" name="EDITABLE 4_25"/>
    <protectedRange algorithmName="SHA-512" hashValue="CVDb5J/0TlFD03lqit9XaA7LbCMGvWLCsduA3v8dImZEGhWfzgZ6Dg6bkjbAbJm1bYAcMLcpovU/dJmuMze5jw==" saltValue="QZ4X9aU2cO4/tAPW6011Dw==" spinCount="100000" sqref="N28:N31 P28:P31" name="EDITABLE 4_27"/>
    <protectedRange algorithmName="SHA-512" hashValue="CVDb5J/0TlFD03lqit9XaA7LbCMGvWLCsduA3v8dImZEGhWfzgZ6Dg6bkjbAbJm1bYAcMLcpovU/dJmuMze5jw==" saltValue="QZ4X9aU2cO4/tAPW6011Dw==" spinCount="100000" sqref="N108:N114 P108:P114 N120 P120" name="EDITABLE 4_28"/>
    <protectedRange algorithmName="SHA-512" hashValue="CVDb5J/0TlFD03lqit9XaA7LbCMGvWLCsduA3v8dImZEGhWfzgZ6Dg6bkjbAbJm1bYAcMLcpovU/dJmuMze5jw==" saltValue="QZ4X9aU2cO4/tAPW6011Dw==" spinCount="100000" sqref="P36 P115" name="EDITABLE 4_30"/>
    <protectedRange algorithmName="SHA-512" hashValue="CVDb5J/0TlFD03lqit9XaA7LbCMGvWLCsduA3v8dImZEGhWfzgZ6Dg6bkjbAbJm1bYAcMLcpovU/dJmuMze5jw==" saltValue="QZ4X9aU2cO4/tAPW6011Dw==" spinCount="100000" sqref="P37 P116" name="EDITABLE 4_31"/>
    <protectedRange algorithmName="SHA-512" hashValue="CVDb5J/0TlFD03lqit9XaA7LbCMGvWLCsduA3v8dImZEGhWfzgZ6Dg6bkjbAbJm1bYAcMLcpovU/dJmuMze5jw==" saltValue="QZ4X9aU2cO4/tAPW6011Dw==" spinCount="100000" sqref="N147:P147 P38" name="EDITABLE 4_32"/>
    <protectedRange algorithmName="SHA-512" hashValue="CVDb5J/0TlFD03lqit9XaA7LbCMGvWLCsduA3v8dImZEGhWfzgZ6Dg6bkjbAbJm1bYAcMLcpovU/dJmuMze5jw==" saltValue="QZ4X9aU2cO4/tAPW6011Dw==" spinCount="100000" sqref="P39" name="EDITABLE 4_33"/>
    <protectedRange algorithmName="SHA-512" hashValue="CVDb5J/0TlFD03lqit9XaA7LbCMGvWLCsduA3v8dImZEGhWfzgZ6Dg6bkjbAbJm1bYAcMLcpovU/dJmuMze5jw==" saltValue="QZ4X9aU2cO4/tAPW6011Dw==" spinCount="100000" sqref="N40:N41 P40:P41" name="EDITABLE 4_34"/>
    <protectedRange algorithmName="SHA-512" hashValue="CVDb5J/0TlFD03lqit9XaA7LbCMGvWLCsduA3v8dImZEGhWfzgZ6Dg6bkjbAbJm1bYAcMLcpovU/dJmuMze5jw==" saltValue="QZ4X9aU2cO4/tAPW6011Dw==" spinCount="100000" sqref="P117:P119 N117:N119" name="EDITABLE 4_35"/>
    <protectedRange algorithmName="SHA-512" hashValue="CVDb5J/0TlFD03lqit9XaA7LbCMGvWLCsduA3v8dImZEGhWfzgZ6Dg6bkjbAbJm1bYAcMLcpovU/dJmuMze5jw==" saltValue="QZ4X9aU2cO4/tAPW6011Dw==" spinCount="100000" sqref="N39 O135:O137 N140:P141 O82:O130 O132:O133 O7:O31 O36:O80" name="EDITABLE 4_36"/>
    <protectedRange algorithmName="SHA-512" hashValue="CVDb5J/0TlFD03lqit9XaA7LbCMGvWLCsduA3v8dImZEGhWfzgZ6Dg6bkjbAbJm1bYAcMLcpovU/dJmuMze5jw==" saltValue="QZ4X9aU2cO4/tAPW6011Dw==" spinCount="100000" sqref="N78 N121 P78 P121 N42:N46 P42:P46" name="EDITABLE 4_38"/>
    <protectedRange algorithmName="SHA-512" hashValue="CVDb5J/0TlFD03lqit9XaA7LbCMGvWLCsduA3v8dImZEGhWfzgZ6Dg6bkjbAbJm1bYAcMLcpovU/dJmuMze5jw==" saltValue="QZ4X9aU2cO4/tAPW6011Dw==" spinCount="100000" sqref="N47:N49 P47:P49" name="EDITABLE 4_39"/>
    <protectedRange algorithmName="SHA-512" hashValue="CVDb5J/0TlFD03lqit9XaA7LbCMGvWLCsduA3v8dImZEGhWfzgZ6Dg6bkjbAbJm1bYAcMLcpovU/dJmuMze5jw==" saltValue="QZ4X9aU2cO4/tAPW6011Dw==" spinCount="100000" sqref="N122:N124 P122:P124" name="EDITABLE 4_40"/>
    <protectedRange algorithmName="SHA-512" hashValue="CVDb5J/0TlFD03lqit9XaA7LbCMGvWLCsduA3v8dImZEGhWfzgZ6Dg6bkjbAbJm1bYAcMLcpovU/dJmuMze5jw==" saltValue="QZ4X9aU2cO4/tAPW6011Dw==" spinCount="100000" sqref="N50:N52 P50:P52" name="EDITABLE 4_42"/>
    <protectedRange algorithmName="SHA-512" hashValue="CVDb5J/0TlFD03lqit9XaA7LbCMGvWLCsduA3v8dImZEGhWfzgZ6Dg6bkjbAbJm1bYAcMLcpovU/dJmuMze5jw==" saltValue="QZ4X9aU2cO4/tAPW6011Dw==" spinCount="100000" sqref="N79 P79" name="EDITABLE 4_43"/>
    <protectedRange algorithmName="SHA-512" hashValue="CVDb5J/0TlFD03lqit9XaA7LbCMGvWLCsduA3v8dImZEGhWfzgZ6Dg6bkjbAbJm1bYAcMLcpovU/dJmuMze5jw==" saltValue="QZ4X9aU2cO4/tAPW6011Dw==" spinCount="100000" sqref="P125:P126 N125:N126" name="EDITABLE 4_44"/>
    <protectedRange algorithmName="SHA-512" hashValue="CVDb5J/0TlFD03lqit9XaA7LbCMGvWLCsduA3v8dImZEGhWfzgZ6Dg6bkjbAbJm1bYAcMLcpovU/dJmuMze5jw==" saltValue="QZ4X9aU2cO4/tAPW6011Dw==" spinCount="100000" sqref="P53:P56 P127" name="EDITABLE 4_46"/>
    <protectedRange algorithmName="SHA-512" hashValue="CVDb5J/0TlFD03lqit9XaA7LbCMGvWLCsduA3v8dImZEGhWfzgZ6Dg6bkjbAbJm1bYAcMLcpovU/dJmuMze5jw==" saltValue="QZ4X9aU2cO4/tAPW6011Dw==" spinCount="100000" sqref="N80 N57:N59 P57:P59 P80 N61:N62 N128:N130 P128:P130 N132 P132" name="EDITABLE 4_47"/>
    <protectedRange algorithmName="SHA-512" hashValue="CVDb5J/0TlFD03lqit9XaA7LbCMGvWLCsduA3v8dImZEGhWfzgZ6Dg6bkjbAbJm1bYAcMLcpovU/dJmuMze5jw==" saltValue="QZ4X9aU2cO4/tAPW6011Dw==" spinCount="100000" sqref="N60 P60:P63 N63" name="EDITABLE 4_48"/>
    <protectedRange algorithmName="SHA-512" hashValue="CVDb5J/0TlFD03lqit9XaA7LbCMGvWLCsduA3v8dImZEGhWfzgZ6Dg6bkjbAbJm1bYAcMLcpovU/dJmuMze5jw==" saltValue="QZ4X9aU2cO4/tAPW6011Dw==" spinCount="100000" sqref="N81:P81 N82 P82" name="EDITABLE 4_49"/>
    <protectedRange algorithmName="SHA-512" hashValue="CVDb5J/0TlFD03lqit9XaA7LbCMGvWLCsduA3v8dImZEGhWfzgZ6Dg6bkjbAbJm1bYAcMLcpovU/dJmuMze5jw==" saltValue="QZ4X9aU2cO4/tAPW6011Dw==" spinCount="100000" sqref="N131:P131" name="EDITABLE 4_50"/>
    <protectedRange algorithmName="SHA-512" hashValue="CVDb5J/0TlFD03lqit9XaA7LbCMGvWLCsduA3v8dImZEGhWfzgZ6Dg6bkjbAbJm1bYAcMLcpovU/dJmuMze5jw==" saltValue="QZ4X9aU2cO4/tAPW6011Dw==" spinCount="100000" sqref="N142:P143" name="EDITABLE 4_51"/>
    <protectedRange algorithmName="SHA-512" hashValue="CVDb5J/0TlFD03lqit9XaA7LbCMGvWLCsduA3v8dImZEGhWfzgZ6Dg6bkjbAbJm1bYAcMLcpovU/dJmuMze5jw==" saltValue="QZ4X9aU2cO4/tAPW6011Dw==" spinCount="100000" sqref="N64:N67 P64:P67" name="EDITABLE 4_53"/>
    <protectedRange algorithmName="SHA-512" hashValue="CVDb5J/0TlFD03lqit9XaA7LbCMGvWLCsduA3v8dImZEGhWfzgZ6Dg6bkjbAbJm1bYAcMLcpovU/dJmuMze5jw==" saltValue="QZ4X9aU2cO4/tAPW6011Dw==" spinCount="100000" sqref="P83:P85 N83:N85" name="EDITABLE 4_54"/>
    <protectedRange algorithmName="SHA-512" hashValue="CVDb5J/0TlFD03lqit9XaA7LbCMGvWLCsduA3v8dImZEGhWfzgZ6Dg6bkjbAbJm1bYAcMLcpovU/dJmuMze5jw==" saltValue="QZ4X9aU2cO4/tAPW6011Dw==" spinCount="100000" sqref="N133 P133" name="EDITABLE 4_55"/>
    <protectedRange algorithmName="SHA-512" hashValue="CVDb5J/0TlFD03lqit9XaA7LbCMGvWLCsduA3v8dImZEGhWfzgZ6Dg6bkjbAbJm1bYAcMLcpovU/dJmuMze5jw==" saltValue="QZ4X9aU2cO4/tAPW6011Dw==" spinCount="100000" sqref="N68:N70 P68:P70 P77" name="EDITABLE 4_56"/>
    <protectedRange algorithmName="SHA-512" hashValue="CVDb5J/0TlFD03lqit9XaA7LbCMGvWLCsduA3v8dImZEGhWfzgZ6Dg6bkjbAbJm1bYAcMLcpovU/dJmuMze5jw==" saltValue="QZ4X9aU2cO4/tAPW6011Dw==" spinCount="100000" sqref="N134:P134" name="EDITABLE 4_57"/>
    <protectedRange algorithmName="SHA-512" hashValue="ytsoXFfC1+WmXVaa1/e6XfcZ7vPjNmSnuZe33NqN4NcqbRxNJdzSGuklMRpskJNPYNNz1yZQe585JE4aSLisOg==" saltValue="/jSLFmNX0mB2vn2qhSJbtw==" spinCount="100000" sqref="I129:L129" name="EDITABLE 3_2"/>
  </protectedRanges>
  <mergeCells count="3">
    <mergeCell ref="A1:P1"/>
    <mergeCell ref="A2:P2"/>
    <mergeCell ref="A3:P3"/>
  </mergeCells>
  <dataValidations count="2">
    <dataValidation type="list" allowBlank="1" showInputMessage="1" showErrorMessage="1" sqref="G5:G144" xr:uid="{01FF1F50-E8D4-4492-8FBB-0BDFC10E9E7A}">
      <formula1>INDIRECT(F5)</formula1>
    </dataValidation>
    <dataValidation type="list" allowBlank="1" showInputMessage="1" showErrorMessage="1" sqref="F5:F144" xr:uid="{A5E0B9BC-FA6F-4F2E-8E34-382026D8B714}">
      <formula1>CAPITULOS</formula1>
    </dataValidation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5" scale="66" fitToHeight="0" orientation="landscape" r:id="rId1"/>
  <rowBreaks count="1" manualBreakCount="1">
    <brk id="134" max="16383" man="1"/>
  </rowBreaks>
  <drawing r:id="rId2"/>
  <tableParts count="1">
    <tablePart r:id="rId3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B06695-EE86-44B8-9B38-A6D0D90BDA91}">
  <sheetPr>
    <tabColor rgb="FF00B050"/>
    <pageSetUpPr fitToPage="1"/>
  </sheetPr>
  <dimension ref="A1:P84"/>
  <sheetViews>
    <sheetView zoomScale="90" zoomScaleNormal="90" workbookViewId="0">
      <pane ySplit="4" topLeftCell="A77" activePane="bottomLeft" state="frozen"/>
      <selection activeCell="L24" sqref="L24"/>
      <selection pane="bottomLeft" activeCell="L24" sqref="L24"/>
    </sheetView>
  </sheetViews>
  <sheetFormatPr baseColWidth="10" defaultColWidth="11.42578125" defaultRowHeight="37.5" customHeight="1" x14ac:dyDescent="0.2"/>
  <cols>
    <col min="1" max="1" width="9.140625" style="1" customWidth="1"/>
    <col min="2" max="2" width="13.5703125" style="1" customWidth="1"/>
    <col min="3" max="3" width="9.140625" style="1" customWidth="1"/>
    <col min="4" max="4" width="17.42578125" style="1" customWidth="1"/>
    <col min="5" max="5" width="19.85546875" style="1" bestFit="1" customWidth="1"/>
    <col min="6" max="6" width="11.140625" style="1" customWidth="1"/>
    <col min="7" max="7" width="13" style="1" customWidth="1"/>
    <col min="8" max="8" width="20.7109375" style="1" customWidth="1"/>
    <col min="9" max="9" width="15.28515625" style="1" bestFit="1" customWidth="1"/>
    <col min="10" max="10" width="13.42578125" style="1" customWidth="1"/>
    <col min="11" max="11" width="14.140625" style="1" customWidth="1"/>
    <col min="12" max="12" width="12.5703125" style="1" customWidth="1"/>
    <col min="13" max="13" width="17.28515625" style="1" customWidth="1"/>
    <col min="14" max="14" width="20.140625" style="1" customWidth="1"/>
    <col min="15" max="15" width="21.7109375" style="1" customWidth="1"/>
    <col min="16" max="16" width="18.5703125" style="1" customWidth="1"/>
    <col min="17" max="16384" width="11.42578125" style="1"/>
  </cols>
  <sheetData>
    <row r="1" spans="1:16" ht="22.5" customHeight="1" x14ac:dyDescent="0.2">
      <c r="A1" s="115" t="s">
        <v>24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</row>
    <row r="2" spans="1:16" ht="18.75" customHeight="1" x14ac:dyDescent="0.2">
      <c r="A2" s="116" t="s">
        <v>337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</row>
    <row r="3" spans="1:16" ht="32.25" customHeight="1" x14ac:dyDescent="0.2">
      <c r="A3" s="117" t="s">
        <v>25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</row>
    <row r="4" spans="1:16" s="2" customFormat="1" ht="48" customHeight="1" x14ac:dyDescent="0.2">
      <c r="A4" s="72" t="s">
        <v>0</v>
      </c>
      <c r="B4" s="72" t="s">
        <v>1</v>
      </c>
      <c r="C4" s="72" t="s">
        <v>2</v>
      </c>
      <c r="D4" s="72" t="s">
        <v>3</v>
      </c>
      <c r="E4" s="72" t="s">
        <v>4</v>
      </c>
      <c r="F4" s="72" t="s">
        <v>5</v>
      </c>
      <c r="G4" s="72" t="s">
        <v>6</v>
      </c>
      <c r="H4" s="72" t="s">
        <v>7</v>
      </c>
      <c r="I4" s="72" t="s">
        <v>26</v>
      </c>
      <c r="J4" s="72" t="s">
        <v>8</v>
      </c>
      <c r="K4" s="72" t="s">
        <v>9</v>
      </c>
      <c r="L4" s="72" t="s">
        <v>10</v>
      </c>
      <c r="M4" s="72" t="s">
        <v>27</v>
      </c>
      <c r="N4" s="72" t="s">
        <v>11</v>
      </c>
      <c r="O4" s="72" t="s">
        <v>12</v>
      </c>
      <c r="P4" s="72" t="s">
        <v>13</v>
      </c>
    </row>
    <row r="5" spans="1:16" ht="37.5" customHeight="1" x14ac:dyDescent="0.2">
      <c r="A5" s="3">
        <v>516</v>
      </c>
      <c r="B5" s="4" t="s">
        <v>338</v>
      </c>
      <c r="C5" s="5">
        <v>530</v>
      </c>
      <c r="D5" s="6" t="str">
        <f>IF(C5&lt;=0,"",VLOOKUP(C5,[11]FF!A:D,2,0))</f>
        <v>PARTICIPACIONES Ramo 28</v>
      </c>
      <c r="E5" s="5" t="s">
        <v>337</v>
      </c>
      <c r="F5" s="7" t="s">
        <v>15</v>
      </c>
      <c r="G5" s="8">
        <v>211001</v>
      </c>
      <c r="H5" s="9" t="str">
        <f>IF(G5&lt;=0,"",VLOOKUP(G5,[11]COG!A:H,2,0))</f>
        <v>Material de oficina</v>
      </c>
      <c r="I5" s="10">
        <f>+Tabla123[[#This Row],[PRESUPUESTO ANUAL AUTORIZADO ]]*0.2</f>
        <v>494691.54000000004</v>
      </c>
      <c r="J5" s="10">
        <f>+Tabla123[[#This Row],[PRESUPUESTO ANUAL AUTORIZADO ]]*0.3</f>
        <v>742037.31</v>
      </c>
      <c r="K5" s="10">
        <f>+Tabla123[[#This Row],[PRESUPUESTO ANUAL AUTORIZADO ]]*0.3</f>
        <v>742037.31</v>
      </c>
      <c r="L5" s="10">
        <f>+Tabla123[[#This Row],[PRESUPUESTO ANUAL AUTORIZADO ]]*0.2</f>
        <v>494691.54000000004</v>
      </c>
      <c r="M5" s="82">
        <v>2473457.7000000002</v>
      </c>
      <c r="N5" s="12" t="s">
        <v>17</v>
      </c>
      <c r="O5" s="83">
        <v>45657</v>
      </c>
      <c r="P5" s="8" t="s">
        <v>296</v>
      </c>
    </row>
    <row r="6" spans="1:16" ht="37.5" customHeight="1" x14ac:dyDescent="0.2">
      <c r="A6" s="3">
        <v>516</v>
      </c>
      <c r="B6" s="4" t="s">
        <v>338</v>
      </c>
      <c r="C6" s="5">
        <v>530</v>
      </c>
      <c r="D6" s="6" t="str">
        <f>IF(C6&lt;=0,"",VLOOKUP(C6,[11]FF!A:D,2,0))</f>
        <v>PARTICIPACIONES Ramo 28</v>
      </c>
      <c r="E6" s="5" t="s">
        <v>337</v>
      </c>
      <c r="F6" s="7" t="s">
        <v>22</v>
      </c>
      <c r="G6" s="8">
        <v>323002</v>
      </c>
      <c r="H6" s="9" t="str">
        <f>IF(G6&lt;=0,"",VLOOKUP(G6,[11]COG!A:H,2,0))</f>
        <v>Arrendamiento de maquinaria y equipo de Administración</v>
      </c>
      <c r="I6" s="10">
        <f>+Tabla123[[#This Row],[PRESUPUESTO ANUAL AUTORIZADO ]]*0.2</f>
        <v>658162.80000000005</v>
      </c>
      <c r="J6" s="10">
        <f>+Tabla123[[#This Row],[PRESUPUESTO ANUAL AUTORIZADO ]]*0.3</f>
        <v>987244.2</v>
      </c>
      <c r="K6" s="10">
        <f>+Tabla123[[#This Row],[PRESUPUESTO ANUAL AUTORIZADO ]]*0.3</f>
        <v>987244.2</v>
      </c>
      <c r="L6" s="10">
        <f>+Tabla123[[#This Row],[PRESUPUESTO ANUAL AUTORIZADO ]]*0.2</f>
        <v>658162.80000000005</v>
      </c>
      <c r="M6" s="11">
        <v>3290814</v>
      </c>
      <c r="N6" s="12" t="s">
        <v>20</v>
      </c>
      <c r="O6" s="83">
        <v>45708</v>
      </c>
      <c r="P6" s="8" t="s">
        <v>339</v>
      </c>
    </row>
    <row r="7" spans="1:16" ht="37.5" customHeight="1" x14ac:dyDescent="0.2">
      <c r="A7" s="3">
        <v>516</v>
      </c>
      <c r="B7" s="4" t="s">
        <v>338</v>
      </c>
      <c r="C7" s="5">
        <v>530</v>
      </c>
      <c r="D7" s="6" t="str">
        <f>IF(C7&lt;=0,"",VLOOKUP(C7,[11]FF!A:D,2,0))</f>
        <v>PARTICIPACIONES Ramo 28</v>
      </c>
      <c r="E7" s="5" t="s">
        <v>337</v>
      </c>
      <c r="F7" s="7" t="s">
        <v>15</v>
      </c>
      <c r="G7" s="8">
        <v>214001</v>
      </c>
      <c r="H7" s="9" t="str">
        <f>IF(G7&lt;=0,"",VLOOKUP(G7,[11]COG!A:H,2,0))</f>
        <v>Materiales, útiles y equipos menores de tecnologías de la información y comunicaciones</v>
      </c>
      <c r="I7" s="10">
        <f>+Tabla123[[#This Row],[PRESUPUESTO ANUAL AUTORIZADO ]]*0.2</f>
        <v>360000</v>
      </c>
      <c r="J7" s="10">
        <f>+Tabla123[[#This Row],[PRESUPUESTO ANUAL AUTORIZADO ]]*0.3</f>
        <v>540000</v>
      </c>
      <c r="K7" s="10">
        <f>+Tabla123[[#This Row],[PRESUPUESTO ANUAL AUTORIZADO ]]*0.3</f>
        <v>540000</v>
      </c>
      <c r="L7" s="10">
        <f>+Tabla123[[#This Row],[PRESUPUESTO ANUAL AUTORIZADO ]]*0.2</f>
        <v>360000</v>
      </c>
      <c r="M7" s="11">
        <v>1800000</v>
      </c>
      <c r="N7" s="12" t="s">
        <v>20</v>
      </c>
      <c r="O7" s="83">
        <v>45708</v>
      </c>
      <c r="P7" s="8" t="s">
        <v>339</v>
      </c>
    </row>
    <row r="8" spans="1:16" ht="37.5" customHeight="1" x14ac:dyDescent="0.2">
      <c r="A8" s="3">
        <v>516</v>
      </c>
      <c r="B8" s="4" t="s">
        <v>338</v>
      </c>
      <c r="C8" s="5">
        <v>530</v>
      </c>
      <c r="D8" s="6" t="str">
        <f>IF(C8&lt;=0,"",VLOOKUP(C8,[11]FF!A:D,2,0))</f>
        <v>PARTICIPACIONES Ramo 28</v>
      </c>
      <c r="E8" s="5" t="s">
        <v>337</v>
      </c>
      <c r="F8" s="7" t="s">
        <v>22</v>
      </c>
      <c r="G8" s="8">
        <v>331002</v>
      </c>
      <c r="H8" s="9" t="str">
        <f>IF(G8&lt;=0,"",VLOOKUP(G8,[11]COG!A:H,2,0))</f>
        <v>Servicios Notariales</v>
      </c>
      <c r="I8" s="10">
        <f>+Tabla123[[#This Row],[PRESUPUESTO ANUAL AUTORIZADO ]]*0.2</f>
        <v>206000</v>
      </c>
      <c r="J8" s="10">
        <f>+Tabla123[[#This Row],[PRESUPUESTO ANUAL AUTORIZADO ]]*0.3</f>
        <v>309000</v>
      </c>
      <c r="K8" s="10">
        <f>+Tabla123[[#This Row],[PRESUPUESTO ANUAL AUTORIZADO ]]*0.3</f>
        <v>309000</v>
      </c>
      <c r="L8" s="10">
        <f>+Tabla123[[#This Row],[PRESUPUESTO ANUAL AUTORIZADO ]]*0.2</f>
        <v>206000</v>
      </c>
      <c r="M8" s="11">
        <v>1030000</v>
      </c>
      <c r="N8" s="12" t="s">
        <v>19</v>
      </c>
      <c r="O8" s="83">
        <v>45708</v>
      </c>
      <c r="P8" s="8" t="s">
        <v>339</v>
      </c>
    </row>
    <row r="9" spans="1:16" ht="37.5" customHeight="1" x14ac:dyDescent="0.2">
      <c r="A9" s="3">
        <v>516</v>
      </c>
      <c r="B9" s="4" t="s">
        <v>338</v>
      </c>
      <c r="C9" s="5">
        <v>530</v>
      </c>
      <c r="D9" s="6" t="str">
        <f>IF(C9&lt;=0,"",VLOOKUP(C9,[11]FF!A:D,2,0))</f>
        <v>PARTICIPACIONES Ramo 28</v>
      </c>
      <c r="E9" s="5" t="s">
        <v>337</v>
      </c>
      <c r="F9" s="7" t="s">
        <v>15</v>
      </c>
      <c r="G9" s="8">
        <v>271001</v>
      </c>
      <c r="H9" s="9" t="str">
        <f>IF(G9&lt;=0,"",VLOOKUP(G9,[11]COG!A:H,2,0))</f>
        <v>Ropa, vestuario y equipo</v>
      </c>
      <c r="I9" s="10">
        <f>+Tabla123[[#This Row],[PRESUPUESTO ANUAL AUTORIZADO ]]*0.2</f>
        <v>14286.2</v>
      </c>
      <c r="J9" s="10">
        <f>+Tabla123[[#This Row],[PRESUPUESTO ANUAL AUTORIZADO ]]*0.3</f>
        <v>21429.3</v>
      </c>
      <c r="K9" s="10">
        <f>+Tabla123[[#This Row],[PRESUPUESTO ANUAL AUTORIZADO ]]*0.3</f>
        <v>21429.3</v>
      </c>
      <c r="L9" s="10">
        <f>+Tabla123[[#This Row],[PRESUPUESTO ANUAL AUTORIZADO ]]*0.2</f>
        <v>14286.2</v>
      </c>
      <c r="M9" s="11">
        <v>71431</v>
      </c>
      <c r="N9" s="12" t="s">
        <v>17</v>
      </c>
      <c r="O9" s="83">
        <v>45708</v>
      </c>
      <c r="P9" s="8" t="s">
        <v>296</v>
      </c>
    </row>
    <row r="10" spans="1:16" ht="37.5" customHeight="1" x14ac:dyDescent="0.2">
      <c r="A10" s="3">
        <v>516</v>
      </c>
      <c r="B10" s="4" t="s">
        <v>338</v>
      </c>
      <c r="C10" s="5">
        <v>530</v>
      </c>
      <c r="D10" s="6" t="str">
        <f>IF(C10&lt;=0,"",VLOOKUP(C10,[11]FF!A:D,2,0))</f>
        <v>PARTICIPACIONES Ramo 28</v>
      </c>
      <c r="E10" s="5" t="s">
        <v>340</v>
      </c>
      <c r="F10" s="7" t="s">
        <v>15</v>
      </c>
      <c r="G10" s="8">
        <v>211001</v>
      </c>
      <c r="H10" s="9" t="str">
        <f>IF(G10&lt;=0,"",VLOOKUP(G10,[11]COG!A:H,2,0))</f>
        <v>Material de oficina</v>
      </c>
      <c r="I10" s="10">
        <f>+Tabla123[[#This Row],[PRESUPUESTO ANUAL AUTORIZADO ]]*0.2</f>
        <v>168967.2</v>
      </c>
      <c r="J10" s="10">
        <f>+Tabla123[[#This Row],[PRESUPUESTO ANUAL AUTORIZADO ]]*0.3</f>
        <v>253450.8</v>
      </c>
      <c r="K10" s="10">
        <f>+Tabla123[[#This Row],[PRESUPUESTO ANUAL AUTORIZADO ]]*0.3</f>
        <v>253450.8</v>
      </c>
      <c r="L10" s="10">
        <f>+Tabla123[[#This Row],[PRESUPUESTO ANUAL AUTORIZADO ]]*0.2</f>
        <v>168967.2</v>
      </c>
      <c r="M10" s="11">
        <v>844836</v>
      </c>
      <c r="N10" s="12" t="s">
        <v>17</v>
      </c>
      <c r="O10" s="83">
        <v>45657</v>
      </c>
      <c r="P10" s="8" t="s">
        <v>296</v>
      </c>
    </row>
    <row r="11" spans="1:16" ht="37.5" customHeight="1" x14ac:dyDescent="0.2">
      <c r="A11" s="3">
        <v>516</v>
      </c>
      <c r="B11" s="4" t="s">
        <v>338</v>
      </c>
      <c r="C11" s="5">
        <v>530</v>
      </c>
      <c r="D11" s="6" t="str">
        <f>IF(C11&lt;=0,"",VLOOKUP(C11,[11]FF!A:D,2,0))</f>
        <v>PARTICIPACIONES Ramo 28</v>
      </c>
      <c r="E11" s="5" t="s">
        <v>341</v>
      </c>
      <c r="F11" s="7" t="s">
        <v>15</v>
      </c>
      <c r="G11" s="8">
        <v>211001</v>
      </c>
      <c r="H11" s="9" t="str">
        <f>IF(G11&lt;=0,"",VLOOKUP(G11,[11]COG!A:H,2,0))</f>
        <v>Material de oficina</v>
      </c>
      <c r="I11" s="10">
        <f>+Tabla123[[#This Row],[PRESUPUESTO ANUAL AUTORIZADO ]]*0.2</f>
        <v>1859.5200000000002</v>
      </c>
      <c r="J11" s="10">
        <f>+Tabla123[[#This Row],[PRESUPUESTO ANUAL AUTORIZADO ]]*0.3</f>
        <v>2789.28</v>
      </c>
      <c r="K11" s="10">
        <f>+Tabla123[[#This Row],[PRESUPUESTO ANUAL AUTORIZADO ]]*0.3</f>
        <v>2789.28</v>
      </c>
      <c r="L11" s="10">
        <f>+Tabla123[[#This Row],[PRESUPUESTO ANUAL AUTORIZADO ]]*0.2</f>
        <v>1859.5200000000002</v>
      </c>
      <c r="M11" s="11">
        <v>9297.6</v>
      </c>
      <c r="N11" s="12" t="s">
        <v>17</v>
      </c>
      <c r="O11" s="83">
        <v>45657</v>
      </c>
      <c r="P11" s="8" t="s">
        <v>296</v>
      </c>
    </row>
    <row r="12" spans="1:16" ht="37.5" customHeight="1" x14ac:dyDescent="0.2">
      <c r="A12" s="3">
        <v>516</v>
      </c>
      <c r="B12" s="4" t="s">
        <v>338</v>
      </c>
      <c r="C12" s="5">
        <v>530</v>
      </c>
      <c r="D12" s="6" t="str">
        <f>IF(C12&lt;=0,"",VLOOKUP(C12,[11]FF!A:D,2,0))</f>
        <v>PARTICIPACIONES Ramo 28</v>
      </c>
      <c r="E12" s="5" t="s">
        <v>342</v>
      </c>
      <c r="F12" s="7" t="s">
        <v>15</v>
      </c>
      <c r="G12" s="8">
        <v>246001</v>
      </c>
      <c r="H12" s="9" t="str">
        <f>IF(G12&lt;=0,"",VLOOKUP(G12,[11]COG!A:H,2,0))</f>
        <v>Material eléctrico</v>
      </c>
      <c r="I12" s="10">
        <f>+Tabla123[[#This Row],[PRESUPUESTO ANUAL AUTORIZADO ]]*0.2</f>
        <v>1577666</v>
      </c>
      <c r="J12" s="10">
        <f>+Tabla123[[#This Row],[PRESUPUESTO ANUAL AUTORIZADO ]]*0.3</f>
        <v>2366499</v>
      </c>
      <c r="K12" s="10">
        <f>+Tabla123[[#This Row],[PRESUPUESTO ANUAL AUTORIZADO ]]*0.3</f>
        <v>2366499</v>
      </c>
      <c r="L12" s="10">
        <f>+Tabla123[[#This Row],[PRESUPUESTO ANUAL AUTORIZADO ]]*0.2</f>
        <v>1577666</v>
      </c>
      <c r="M12" s="11">
        <v>7888330</v>
      </c>
      <c r="N12" s="12" t="s">
        <v>30</v>
      </c>
      <c r="O12" s="83">
        <v>45708</v>
      </c>
      <c r="P12" s="8" t="s">
        <v>339</v>
      </c>
    </row>
    <row r="13" spans="1:16" ht="37.5" customHeight="1" x14ac:dyDescent="0.2">
      <c r="A13" s="3">
        <v>516</v>
      </c>
      <c r="B13" s="4" t="s">
        <v>338</v>
      </c>
      <c r="C13" s="5">
        <v>530</v>
      </c>
      <c r="D13" s="6" t="str">
        <f>IF(C13&lt;=0,"",VLOOKUP(C13,[11]FF!A:D,2,0))</f>
        <v>PARTICIPACIONES Ramo 28</v>
      </c>
      <c r="E13" s="5" t="s">
        <v>342</v>
      </c>
      <c r="F13" s="7" t="s">
        <v>15</v>
      </c>
      <c r="G13" s="8">
        <v>249001</v>
      </c>
      <c r="H13" s="9" t="str">
        <f>IF(G13&lt;=0,"",VLOOKUP(G13,[11]COG!A:H,2,0))</f>
        <v>Materiales de construcción y complementarios</v>
      </c>
      <c r="I13" s="10">
        <f>+Tabla123[[#This Row],[PRESUPUESTO ANUAL AUTORIZADO ]]*0.2</f>
        <v>110000</v>
      </c>
      <c r="J13" s="10">
        <f>+Tabla123[[#This Row],[PRESUPUESTO ANUAL AUTORIZADO ]]*0.3</f>
        <v>165000</v>
      </c>
      <c r="K13" s="10">
        <f>+Tabla123[[#This Row],[PRESUPUESTO ANUAL AUTORIZADO ]]*0.3</f>
        <v>165000</v>
      </c>
      <c r="L13" s="10">
        <f>+Tabla123[[#This Row],[PRESUPUESTO ANUAL AUTORIZADO ]]*0.2</f>
        <v>110000</v>
      </c>
      <c r="M13" s="11">
        <v>550000</v>
      </c>
      <c r="N13" s="12" t="s">
        <v>20</v>
      </c>
      <c r="O13" s="83">
        <v>45708</v>
      </c>
      <c r="P13" s="8" t="s">
        <v>339</v>
      </c>
    </row>
    <row r="14" spans="1:16" ht="37.5" customHeight="1" x14ac:dyDescent="0.2">
      <c r="A14" s="3">
        <v>516</v>
      </c>
      <c r="B14" s="4" t="s">
        <v>338</v>
      </c>
      <c r="C14" s="5">
        <v>530</v>
      </c>
      <c r="D14" s="6" t="str">
        <f>IF(C14&lt;=0,"",VLOOKUP(C14,[11]FF!A:D,2,0))</f>
        <v>PARTICIPACIONES Ramo 28</v>
      </c>
      <c r="E14" s="5" t="s">
        <v>342</v>
      </c>
      <c r="F14" s="7" t="s">
        <v>15</v>
      </c>
      <c r="G14" s="8">
        <v>211001</v>
      </c>
      <c r="H14" s="9" t="str">
        <f>IF(G14&lt;=0,"",VLOOKUP(G14,[11]COG!A:H,2,0))</f>
        <v>Material de oficina</v>
      </c>
      <c r="I14" s="10">
        <f>+Tabla123[[#This Row],[PRESUPUESTO ANUAL AUTORIZADO ]]*0.2</f>
        <v>2267.84</v>
      </c>
      <c r="J14" s="10">
        <f>+Tabla123[[#This Row],[PRESUPUESTO ANUAL AUTORIZADO ]]*0.3</f>
        <v>3401.76</v>
      </c>
      <c r="K14" s="10">
        <f>+Tabla123[[#This Row],[PRESUPUESTO ANUAL AUTORIZADO ]]*0.3</f>
        <v>3401.76</v>
      </c>
      <c r="L14" s="10">
        <f>+Tabla123[[#This Row],[PRESUPUESTO ANUAL AUTORIZADO ]]*0.2</f>
        <v>2267.84</v>
      </c>
      <c r="M14" s="11">
        <v>11339.2</v>
      </c>
      <c r="N14" s="12" t="s">
        <v>17</v>
      </c>
      <c r="O14" s="83">
        <v>45657</v>
      </c>
      <c r="P14" s="8" t="s">
        <v>296</v>
      </c>
    </row>
    <row r="15" spans="1:16" ht="37.5" customHeight="1" x14ac:dyDescent="0.2">
      <c r="A15" s="3">
        <v>516</v>
      </c>
      <c r="B15" s="4" t="s">
        <v>338</v>
      </c>
      <c r="C15" s="5">
        <v>530</v>
      </c>
      <c r="D15" s="6" t="str">
        <f>IF(C15&lt;=0,"",VLOOKUP(C15,[11]FF!A:D,2,0))</f>
        <v>PARTICIPACIONES Ramo 28</v>
      </c>
      <c r="E15" s="5" t="s">
        <v>343</v>
      </c>
      <c r="F15" s="7" t="s">
        <v>15</v>
      </c>
      <c r="G15" s="8">
        <v>211001</v>
      </c>
      <c r="H15" s="9" t="str">
        <f>IF(G15&lt;=0,"",VLOOKUP(G15,[11]COG!A:H,2,0))</f>
        <v>Material de oficina</v>
      </c>
      <c r="I15" s="10">
        <f>+Tabla123[[#This Row],[PRESUPUESTO ANUAL AUTORIZADO ]]*0.2</f>
        <v>679.36000000000013</v>
      </c>
      <c r="J15" s="10">
        <f>+Tabla123[[#This Row],[PRESUPUESTO ANUAL AUTORIZADO ]]*0.3</f>
        <v>1019.04</v>
      </c>
      <c r="K15" s="10">
        <f>+Tabla123[[#This Row],[PRESUPUESTO ANUAL AUTORIZADO ]]*0.3</f>
        <v>1019.04</v>
      </c>
      <c r="L15" s="10">
        <f>+Tabla123[[#This Row],[PRESUPUESTO ANUAL AUTORIZADO ]]*0.2</f>
        <v>679.36000000000013</v>
      </c>
      <c r="M15" s="11">
        <v>3396.8</v>
      </c>
      <c r="N15" s="12" t="s">
        <v>17</v>
      </c>
      <c r="O15" s="83">
        <v>45657</v>
      </c>
      <c r="P15" s="8" t="s">
        <v>296</v>
      </c>
    </row>
    <row r="16" spans="1:16" ht="37.5" customHeight="1" x14ac:dyDescent="0.2">
      <c r="A16" s="3">
        <v>517</v>
      </c>
      <c r="B16" s="4" t="s">
        <v>338</v>
      </c>
      <c r="C16" s="5">
        <v>530</v>
      </c>
      <c r="D16" s="6" t="str">
        <f>IF(C16&lt;=0,"",VLOOKUP(C16,[11]FF!A:D,2,0))</f>
        <v>PARTICIPACIONES Ramo 28</v>
      </c>
      <c r="E16" s="5" t="s">
        <v>344</v>
      </c>
      <c r="F16" s="7" t="s">
        <v>15</v>
      </c>
      <c r="G16" s="8">
        <v>211001</v>
      </c>
      <c r="H16" s="9" t="str">
        <f>IF(G16&lt;=0,"",VLOOKUP(G16,[11]COG!A:H,2,0))</f>
        <v>Material de oficina</v>
      </c>
      <c r="I16" s="10">
        <f>+Tabla123[[#This Row],[PRESUPUESTO ANUAL AUTORIZADO ]]*0.2</f>
        <v>1178.6400000000001</v>
      </c>
      <c r="J16" s="10">
        <f>+Tabla123[[#This Row],[PRESUPUESTO ANUAL AUTORIZADO ]]*0.3</f>
        <v>1767.9599999999998</v>
      </c>
      <c r="K16" s="10">
        <f>+Tabla123[[#This Row],[PRESUPUESTO ANUAL AUTORIZADO ]]*0.3</f>
        <v>1767.9599999999998</v>
      </c>
      <c r="L16" s="10">
        <f>+Tabla123[[#This Row],[PRESUPUESTO ANUAL AUTORIZADO ]]*0.2</f>
        <v>1178.6400000000001</v>
      </c>
      <c r="M16" s="11">
        <v>5893.2</v>
      </c>
      <c r="N16" s="12" t="s">
        <v>17</v>
      </c>
      <c r="O16" s="83">
        <v>45657</v>
      </c>
      <c r="P16" s="8" t="s">
        <v>296</v>
      </c>
    </row>
    <row r="17" spans="1:16" ht="37.5" customHeight="1" x14ac:dyDescent="0.2">
      <c r="A17" s="3">
        <v>517</v>
      </c>
      <c r="B17" s="4" t="s">
        <v>338</v>
      </c>
      <c r="C17" s="5">
        <v>530</v>
      </c>
      <c r="D17" s="6" t="str">
        <f>IF(C17&lt;=0,"",VLOOKUP(C17,[11]FF!A:D,2,0))</f>
        <v>PARTICIPACIONES Ramo 28</v>
      </c>
      <c r="E17" s="5" t="s">
        <v>345</v>
      </c>
      <c r="F17" s="7" t="s">
        <v>15</v>
      </c>
      <c r="G17" s="8">
        <v>211001</v>
      </c>
      <c r="H17" s="9" t="str">
        <f>IF(G17&lt;=0,"",VLOOKUP(G17,[11]COG!A:H,2,0))</f>
        <v>Material de oficina</v>
      </c>
      <c r="I17" s="10">
        <f>+Tabla123[[#This Row],[PRESUPUESTO ANUAL AUTORIZADO ]]*0.2</f>
        <v>2545.2800000000002</v>
      </c>
      <c r="J17" s="10">
        <f>+Tabla123[[#This Row],[PRESUPUESTO ANUAL AUTORIZADO ]]*0.3</f>
        <v>3817.9199999999996</v>
      </c>
      <c r="K17" s="10">
        <f>+Tabla123[[#This Row],[PRESUPUESTO ANUAL AUTORIZADO ]]*0.3</f>
        <v>3817.9199999999996</v>
      </c>
      <c r="L17" s="10">
        <f>+Tabla123[[#This Row],[PRESUPUESTO ANUAL AUTORIZADO ]]*0.2</f>
        <v>2545.2800000000002</v>
      </c>
      <c r="M17" s="11">
        <v>12726.4</v>
      </c>
      <c r="N17" s="12" t="s">
        <v>17</v>
      </c>
      <c r="O17" s="83">
        <v>45657</v>
      </c>
      <c r="P17" s="8" t="s">
        <v>296</v>
      </c>
    </row>
    <row r="18" spans="1:16" ht="37.5" customHeight="1" x14ac:dyDescent="0.2">
      <c r="A18" s="3">
        <v>517</v>
      </c>
      <c r="B18" s="4" t="s">
        <v>338</v>
      </c>
      <c r="C18" s="5">
        <v>530</v>
      </c>
      <c r="D18" s="6" t="str">
        <f>IF(C18&lt;=0,"",VLOOKUP(C18,[11]FF!A:D,2,0))</f>
        <v>PARTICIPACIONES Ramo 28</v>
      </c>
      <c r="E18" s="5" t="s">
        <v>346</v>
      </c>
      <c r="F18" s="7" t="s">
        <v>15</v>
      </c>
      <c r="G18" s="8">
        <v>211001</v>
      </c>
      <c r="H18" s="9" t="str">
        <f>IF(G18&lt;=0,"",VLOOKUP(G18,[11]COG!A:H,2,0))</f>
        <v>Material de oficina</v>
      </c>
      <c r="I18" s="10">
        <f>+Tabla123[[#This Row],[PRESUPUESTO ANUAL AUTORIZADO ]]*0.2</f>
        <v>297.60000000000002</v>
      </c>
      <c r="J18" s="10">
        <f>+Tabla123[[#This Row],[PRESUPUESTO ANUAL AUTORIZADO ]]*0.3</f>
        <v>446.4</v>
      </c>
      <c r="K18" s="10">
        <f>+Tabla123[[#This Row],[PRESUPUESTO ANUAL AUTORIZADO ]]*0.3</f>
        <v>446.4</v>
      </c>
      <c r="L18" s="10">
        <f>+Tabla123[[#This Row],[PRESUPUESTO ANUAL AUTORIZADO ]]*0.2</f>
        <v>297.60000000000002</v>
      </c>
      <c r="M18" s="11">
        <v>1488</v>
      </c>
      <c r="N18" s="12" t="s">
        <v>17</v>
      </c>
      <c r="O18" s="83">
        <v>45657</v>
      </c>
      <c r="P18" s="8" t="s">
        <v>296</v>
      </c>
    </row>
    <row r="19" spans="1:16" ht="37.5" customHeight="1" x14ac:dyDescent="0.2">
      <c r="A19" s="3">
        <v>517</v>
      </c>
      <c r="B19" s="4" t="s">
        <v>338</v>
      </c>
      <c r="C19" s="5">
        <v>530</v>
      </c>
      <c r="D19" s="6" t="str">
        <f>IF(C19&lt;=0,"",VLOOKUP(C19,[11]FF!A:D,2,0))</f>
        <v>PARTICIPACIONES Ramo 28</v>
      </c>
      <c r="E19" s="5" t="s">
        <v>347</v>
      </c>
      <c r="F19" s="7" t="s">
        <v>15</v>
      </c>
      <c r="G19" s="8">
        <v>211001</v>
      </c>
      <c r="H19" s="9" t="str">
        <f>IF(G19&lt;=0,"",VLOOKUP(G19,[11]COG!A:H,2,0))</f>
        <v>Material de oficina</v>
      </c>
      <c r="I19" s="10">
        <f>+Tabla123[[#This Row],[PRESUPUESTO ANUAL AUTORIZADO ]]*0.2</f>
        <v>828.80000000000007</v>
      </c>
      <c r="J19" s="10">
        <f>+Tabla123[[#This Row],[PRESUPUESTO ANUAL AUTORIZADO ]]*0.3</f>
        <v>1243.2</v>
      </c>
      <c r="K19" s="10">
        <f>+Tabla123[[#This Row],[PRESUPUESTO ANUAL AUTORIZADO ]]*0.3</f>
        <v>1243.2</v>
      </c>
      <c r="L19" s="10">
        <f>+Tabla123[[#This Row],[PRESUPUESTO ANUAL AUTORIZADO ]]*0.2</f>
        <v>828.80000000000007</v>
      </c>
      <c r="M19" s="11">
        <v>4144</v>
      </c>
      <c r="N19" s="12" t="s">
        <v>17</v>
      </c>
      <c r="O19" s="83">
        <v>45657</v>
      </c>
      <c r="P19" s="8" t="s">
        <v>296</v>
      </c>
    </row>
    <row r="20" spans="1:16" ht="37.5" customHeight="1" x14ac:dyDescent="0.2">
      <c r="A20" s="3">
        <v>517</v>
      </c>
      <c r="B20" s="4" t="s">
        <v>338</v>
      </c>
      <c r="C20" s="5">
        <v>530</v>
      </c>
      <c r="D20" s="6" t="str">
        <f>IF(C20&lt;=0,"",VLOOKUP(C20,[11]FF!A:D,2,0))</f>
        <v>PARTICIPACIONES Ramo 28</v>
      </c>
      <c r="E20" s="5" t="s">
        <v>348</v>
      </c>
      <c r="F20" s="7" t="s">
        <v>15</v>
      </c>
      <c r="G20" s="8">
        <v>211001</v>
      </c>
      <c r="H20" s="9" t="str">
        <f>IF(G20&lt;=0,"",VLOOKUP(G20,[11]COG!A:H,2,0))</f>
        <v>Material de oficina</v>
      </c>
      <c r="I20" s="10">
        <f>+Tabla123[[#This Row],[PRESUPUESTO ANUAL AUTORIZADO ]]*0.2</f>
        <v>645.6</v>
      </c>
      <c r="J20" s="10">
        <f>+Tabla123[[#This Row],[PRESUPUESTO ANUAL AUTORIZADO ]]*0.3</f>
        <v>968.4</v>
      </c>
      <c r="K20" s="10">
        <f>+Tabla123[[#This Row],[PRESUPUESTO ANUAL AUTORIZADO ]]*0.3</f>
        <v>968.4</v>
      </c>
      <c r="L20" s="10">
        <f>+Tabla123[[#This Row],[PRESUPUESTO ANUAL AUTORIZADO ]]*0.2</f>
        <v>645.6</v>
      </c>
      <c r="M20" s="11">
        <v>3228</v>
      </c>
      <c r="N20" s="12" t="s">
        <v>17</v>
      </c>
      <c r="O20" s="83">
        <v>45657</v>
      </c>
      <c r="P20" s="8" t="s">
        <v>296</v>
      </c>
    </row>
    <row r="21" spans="1:16" ht="37.5" customHeight="1" x14ac:dyDescent="0.2">
      <c r="A21" s="3">
        <v>517</v>
      </c>
      <c r="B21" s="4" t="s">
        <v>338</v>
      </c>
      <c r="C21" s="5">
        <v>530</v>
      </c>
      <c r="D21" s="6" t="str">
        <f>IF(C21&lt;=0,"",VLOOKUP(C21,[11]FF!A:D,2,0))</f>
        <v>PARTICIPACIONES Ramo 28</v>
      </c>
      <c r="E21" s="5" t="s">
        <v>349</v>
      </c>
      <c r="F21" s="7" t="s">
        <v>15</v>
      </c>
      <c r="G21" s="8">
        <v>211001</v>
      </c>
      <c r="H21" s="9" t="str">
        <f>IF(G21&lt;=0,"",VLOOKUP(G21,[11]COG!A:H,2,0))</f>
        <v>Material de oficina</v>
      </c>
      <c r="I21" s="10">
        <f>+Tabla123[[#This Row],[PRESUPUESTO ANUAL AUTORIZADO ]]*0.2</f>
        <v>5366.4000000000005</v>
      </c>
      <c r="J21" s="10">
        <f>+Tabla123[[#This Row],[PRESUPUESTO ANUAL AUTORIZADO ]]*0.3</f>
        <v>8049.5999999999995</v>
      </c>
      <c r="K21" s="10">
        <f>+Tabla123[[#This Row],[PRESUPUESTO ANUAL AUTORIZADO ]]*0.3</f>
        <v>8049.5999999999995</v>
      </c>
      <c r="L21" s="10">
        <f>+Tabla123[[#This Row],[PRESUPUESTO ANUAL AUTORIZADO ]]*0.2</f>
        <v>5366.4000000000005</v>
      </c>
      <c r="M21" s="11">
        <v>26832</v>
      </c>
      <c r="N21" s="12" t="s">
        <v>17</v>
      </c>
      <c r="O21" s="83">
        <v>45657</v>
      </c>
      <c r="P21" s="8" t="s">
        <v>296</v>
      </c>
    </row>
    <row r="22" spans="1:16" ht="37.5" customHeight="1" x14ac:dyDescent="0.2">
      <c r="A22" s="3">
        <v>518</v>
      </c>
      <c r="B22" s="4" t="s">
        <v>338</v>
      </c>
      <c r="C22" s="5">
        <v>530</v>
      </c>
      <c r="D22" s="6" t="str">
        <f>IF(C22&lt;=0,"",VLOOKUP(C22,[11]FF!A:D,2,0))</f>
        <v>PARTICIPACIONES Ramo 28</v>
      </c>
      <c r="E22" s="5" t="s">
        <v>350</v>
      </c>
      <c r="F22" s="7" t="s">
        <v>15</v>
      </c>
      <c r="G22" s="8">
        <v>211001</v>
      </c>
      <c r="H22" s="9" t="str">
        <f>IF(G22&lt;=0,"",VLOOKUP(G22,[11]COG!A:H,2,0))</f>
        <v>Material de oficina</v>
      </c>
      <c r="I22" s="10">
        <f>+Tabla123[[#This Row],[PRESUPUESTO ANUAL AUTORIZADO ]]*0.2</f>
        <v>1259</v>
      </c>
      <c r="J22" s="10">
        <f>+Tabla123[[#This Row],[PRESUPUESTO ANUAL AUTORIZADO ]]*0.3</f>
        <v>1888.5</v>
      </c>
      <c r="K22" s="10">
        <f>+Tabla123[[#This Row],[PRESUPUESTO ANUAL AUTORIZADO ]]*0.3</f>
        <v>1888.5</v>
      </c>
      <c r="L22" s="10">
        <f>+Tabla123[[#This Row],[PRESUPUESTO ANUAL AUTORIZADO ]]*0.2</f>
        <v>1259</v>
      </c>
      <c r="M22" s="11">
        <v>6295</v>
      </c>
      <c r="N22" s="12" t="s">
        <v>17</v>
      </c>
      <c r="O22" s="83">
        <v>45657</v>
      </c>
      <c r="P22" s="8" t="s">
        <v>296</v>
      </c>
    </row>
    <row r="23" spans="1:16" ht="37.5" customHeight="1" x14ac:dyDescent="0.2">
      <c r="A23" s="3">
        <v>518</v>
      </c>
      <c r="B23" s="4" t="s">
        <v>338</v>
      </c>
      <c r="C23" s="5">
        <v>530</v>
      </c>
      <c r="D23" s="6" t="str">
        <f>IF(C23&lt;=0,"",VLOOKUP(C23,[11]FF!A:D,2,0))</f>
        <v>PARTICIPACIONES Ramo 28</v>
      </c>
      <c r="E23" s="5" t="s">
        <v>351</v>
      </c>
      <c r="F23" s="7" t="s">
        <v>15</v>
      </c>
      <c r="G23" s="8">
        <v>211001</v>
      </c>
      <c r="H23" s="9" t="str">
        <f>IF(G23&lt;=0,"",VLOOKUP(G23,[11]COG!A:H,2,0))</f>
        <v>Material de oficina</v>
      </c>
      <c r="I23" s="10">
        <f>+Tabla123[[#This Row],[PRESUPUESTO ANUAL AUTORIZADO ]]*0.2</f>
        <v>404.6</v>
      </c>
      <c r="J23" s="10">
        <f>+Tabla123[[#This Row],[PRESUPUESTO ANUAL AUTORIZADO ]]*0.3</f>
        <v>606.9</v>
      </c>
      <c r="K23" s="10">
        <f>+Tabla123[[#This Row],[PRESUPUESTO ANUAL AUTORIZADO ]]*0.3</f>
        <v>606.9</v>
      </c>
      <c r="L23" s="10">
        <f>+Tabla123[[#This Row],[PRESUPUESTO ANUAL AUTORIZADO ]]*0.2</f>
        <v>404.6</v>
      </c>
      <c r="M23" s="11">
        <v>2023</v>
      </c>
      <c r="N23" s="12" t="s">
        <v>17</v>
      </c>
      <c r="O23" s="83">
        <v>45657</v>
      </c>
      <c r="P23" s="8" t="s">
        <v>296</v>
      </c>
    </row>
    <row r="24" spans="1:16" ht="37.5" customHeight="1" x14ac:dyDescent="0.2">
      <c r="A24" s="3">
        <v>518</v>
      </c>
      <c r="B24" s="4" t="s">
        <v>338</v>
      </c>
      <c r="C24" s="5">
        <v>530</v>
      </c>
      <c r="D24" s="6" t="str">
        <f>IF(C24&lt;=0,"",VLOOKUP(C24,[11]FF!A:D,2,0))</f>
        <v>PARTICIPACIONES Ramo 28</v>
      </c>
      <c r="E24" s="5" t="s">
        <v>352</v>
      </c>
      <c r="F24" s="7" t="s">
        <v>15</v>
      </c>
      <c r="G24" s="8">
        <v>211001</v>
      </c>
      <c r="H24" s="9" t="str">
        <f>IF(G24&lt;=0,"",VLOOKUP(G24,[11]COG!A:H,2,0))</f>
        <v>Material de oficina</v>
      </c>
      <c r="I24" s="10">
        <f>+Tabla123[[#This Row],[PRESUPUESTO ANUAL AUTORIZADO ]]*0.2</f>
        <v>914.40000000000009</v>
      </c>
      <c r="J24" s="10">
        <f>+Tabla123[[#This Row],[PRESUPUESTO ANUAL AUTORIZADO ]]*0.3</f>
        <v>1371.6</v>
      </c>
      <c r="K24" s="10">
        <f>+Tabla123[[#This Row],[PRESUPUESTO ANUAL AUTORIZADO ]]*0.3</f>
        <v>1371.6</v>
      </c>
      <c r="L24" s="10">
        <f>+Tabla123[[#This Row],[PRESUPUESTO ANUAL AUTORIZADO ]]*0.2</f>
        <v>914.40000000000009</v>
      </c>
      <c r="M24" s="11">
        <v>4572</v>
      </c>
      <c r="N24" s="12" t="s">
        <v>17</v>
      </c>
      <c r="O24" s="83">
        <v>45657</v>
      </c>
      <c r="P24" s="8" t="s">
        <v>296</v>
      </c>
    </row>
    <row r="25" spans="1:16" ht="37.5" customHeight="1" x14ac:dyDescent="0.2">
      <c r="A25" s="3">
        <v>518</v>
      </c>
      <c r="B25" s="4" t="s">
        <v>338</v>
      </c>
      <c r="C25" s="5">
        <v>530</v>
      </c>
      <c r="D25" s="6" t="str">
        <f>IF(C25&lt;=0,"",VLOOKUP(C25,[11]FF!A:D,2,0))</f>
        <v>PARTICIPACIONES Ramo 28</v>
      </c>
      <c r="E25" s="5" t="s">
        <v>353</v>
      </c>
      <c r="F25" s="7" t="s">
        <v>15</v>
      </c>
      <c r="G25" s="8">
        <v>211001</v>
      </c>
      <c r="H25" s="9" t="str">
        <f>IF(G25&lt;=0,"",VLOOKUP(G25,[11]COG!A:H,2,0))</f>
        <v>Material de oficina</v>
      </c>
      <c r="I25" s="10">
        <f>+Tabla123[[#This Row],[PRESUPUESTO ANUAL AUTORIZADO ]]*0.2</f>
        <v>349.42</v>
      </c>
      <c r="J25" s="10">
        <f>+Tabla123[[#This Row],[PRESUPUESTO ANUAL AUTORIZADO ]]*0.3</f>
        <v>524.13</v>
      </c>
      <c r="K25" s="10">
        <f>+Tabla123[[#This Row],[PRESUPUESTO ANUAL AUTORIZADO ]]*0.3</f>
        <v>524.13</v>
      </c>
      <c r="L25" s="10">
        <f>+Tabla123[[#This Row],[PRESUPUESTO ANUAL AUTORIZADO ]]*0.2</f>
        <v>349.42</v>
      </c>
      <c r="M25" s="11">
        <v>1747.1</v>
      </c>
      <c r="N25" s="12" t="s">
        <v>17</v>
      </c>
      <c r="O25" s="83">
        <v>45657</v>
      </c>
      <c r="P25" s="8" t="s">
        <v>296</v>
      </c>
    </row>
    <row r="26" spans="1:16" ht="37.5" customHeight="1" x14ac:dyDescent="0.2">
      <c r="A26" s="3">
        <v>519</v>
      </c>
      <c r="B26" s="4" t="s">
        <v>338</v>
      </c>
      <c r="C26" s="5">
        <v>530</v>
      </c>
      <c r="D26" s="6" t="str">
        <f>IF(C26&lt;=0,"",VLOOKUP(C26,[11]FF!A:D,2,0))</f>
        <v>PARTICIPACIONES Ramo 28</v>
      </c>
      <c r="E26" s="5" t="s">
        <v>354</v>
      </c>
      <c r="F26" s="7" t="s">
        <v>15</v>
      </c>
      <c r="G26" s="8">
        <v>211001</v>
      </c>
      <c r="H26" s="9" t="str">
        <f>IF(G26&lt;=0,"",VLOOKUP(G26,[11]COG!A:H,2,0))</f>
        <v>Material de oficina</v>
      </c>
      <c r="I26" s="10">
        <f>+Tabla123[[#This Row],[PRESUPUESTO ANUAL AUTORIZADO ]]*0.2</f>
        <v>1529.4</v>
      </c>
      <c r="J26" s="10">
        <f>+Tabla123[[#This Row],[PRESUPUESTO ANUAL AUTORIZADO ]]*0.3</f>
        <v>2294.1</v>
      </c>
      <c r="K26" s="10">
        <f>+Tabla123[[#This Row],[PRESUPUESTO ANUAL AUTORIZADO ]]*0.3</f>
        <v>2294.1</v>
      </c>
      <c r="L26" s="10">
        <f>+Tabla123[[#This Row],[PRESUPUESTO ANUAL AUTORIZADO ]]*0.2</f>
        <v>1529.4</v>
      </c>
      <c r="M26" s="11">
        <v>7647</v>
      </c>
      <c r="N26" s="12" t="s">
        <v>17</v>
      </c>
      <c r="O26" s="83">
        <v>45657</v>
      </c>
      <c r="P26" s="8" t="s">
        <v>296</v>
      </c>
    </row>
    <row r="27" spans="1:16" ht="37.5" customHeight="1" x14ac:dyDescent="0.2">
      <c r="A27" s="3">
        <v>519</v>
      </c>
      <c r="B27" s="4" t="s">
        <v>338</v>
      </c>
      <c r="C27" s="5">
        <v>530</v>
      </c>
      <c r="D27" s="6" t="str">
        <f>IF(C27&lt;=0,"",VLOOKUP(C27,[11]FF!A:D,2,0))</f>
        <v>PARTICIPACIONES Ramo 28</v>
      </c>
      <c r="E27" s="5" t="s">
        <v>354</v>
      </c>
      <c r="F27" s="7" t="s">
        <v>22</v>
      </c>
      <c r="G27" s="8">
        <v>361004</v>
      </c>
      <c r="H27" s="9" t="str">
        <f>IF(G27&lt;=0,"",VLOOKUP(G27,[11]COG!A:H,2,0))</f>
        <v>Publicación de convocatorias</v>
      </c>
      <c r="I27" s="10">
        <f>+Tabla123[[#This Row],[PRESUPUESTO ANUAL AUTORIZADO ]]*0.2</f>
        <v>209654.80000000002</v>
      </c>
      <c r="J27" s="10">
        <v>0</v>
      </c>
      <c r="K27" s="10">
        <v>0</v>
      </c>
      <c r="L27" s="10">
        <v>0</v>
      </c>
      <c r="M27" s="11">
        <v>1048274</v>
      </c>
      <c r="N27" s="12" t="s">
        <v>19</v>
      </c>
      <c r="O27" s="83">
        <v>45657</v>
      </c>
      <c r="P27" s="8" t="s">
        <v>339</v>
      </c>
    </row>
    <row r="28" spans="1:16" ht="37.5" customHeight="1" x14ac:dyDescent="0.2">
      <c r="A28" s="3">
        <v>520</v>
      </c>
      <c r="B28" s="4" t="s">
        <v>338</v>
      </c>
      <c r="C28" s="5">
        <v>530</v>
      </c>
      <c r="D28" s="6" t="str">
        <f>IF(C28&lt;=0,"",VLOOKUP(C28,[11]FF!A:D,2,0))</f>
        <v>PARTICIPACIONES Ramo 28</v>
      </c>
      <c r="E28" s="5" t="s">
        <v>355</v>
      </c>
      <c r="F28" s="7" t="s">
        <v>15</v>
      </c>
      <c r="G28" s="8">
        <v>211001</v>
      </c>
      <c r="H28" s="9" t="str">
        <f>IF(G28&lt;=0,"",VLOOKUP(G28,[11]COG!A:H,2,0))</f>
        <v>Material de oficina</v>
      </c>
      <c r="I28" s="10">
        <f>+Tabla123[[#This Row],[PRESUPUESTO ANUAL AUTORIZADO ]]*0.2</f>
        <v>984.80000000000007</v>
      </c>
      <c r="J28" s="10">
        <f>+Tabla123[[#This Row],[PRESUPUESTO ANUAL AUTORIZADO ]]*0.3</f>
        <v>1477.2</v>
      </c>
      <c r="K28" s="10">
        <f>+Tabla123[[#This Row],[PRESUPUESTO ANUAL AUTORIZADO ]]*0.3</f>
        <v>1477.2</v>
      </c>
      <c r="L28" s="10">
        <f>+Tabla123[[#This Row],[PRESUPUESTO ANUAL AUTORIZADO ]]*0.2</f>
        <v>984.80000000000007</v>
      </c>
      <c r="M28" s="11">
        <v>4924</v>
      </c>
      <c r="N28" s="12" t="s">
        <v>17</v>
      </c>
      <c r="O28" s="83">
        <v>45657</v>
      </c>
      <c r="P28" s="8" t="s">
        <v>296</v>
      </c>
    </row>
    <row r="29" spans="1:16" ht="37.5" customHeight="1" x14ac:dyDescent="0.2">
      <c r="A29" s="3">
        <v>520</v>
      </c>
      <c r="B29" s="4" t="s">
        <v>338</v>
      </c>
      <c r="C29" s="5">
        <v>530</v>
      </c>
      <c r="D29" s="6" t="str">
        <f>IF(C29&lt;=0,"",VLOOKUP(C29,[11]FF!A:D,2,0))</f>
        <v>PARTICIPACIONES Ramo 28</v>
      </c>
      <c r="E29" s="5" t="s">
        <v>355</v>
      </c>
      <c r="F29" s="7" t="s">
        <v>22</v>
      </c>
      <c r="G29" s="8">
        <v>355001</v>
      </c>
      <c r="H29" s="9" t="str">
        <f>IF(G29&lt;=0,"",VLOOKUP(G29,[11]COG!A:H,2,0))</f>
        <v>Mantto. y conservación de vehículos terrestres, aéreos, marítimos, lacustres y fluviales</v>
      </c>
      <c r="I29" s="10">
        <f>+Tabla123[[#This Row],[PRESUPUESTO ANUAL AUTORIZADO ]]*0.2</f>
        <v>1255488.2</v>
      </c>
      <c r="J29" s="10">
        <f>+Tabla123[[#This Row],[PRESUPUESTO ANUAL AUTORIZADO ]]*0.3</f>
        <v>1883232.3</v>
      </c>
      <c r="K29" s="10">
        <f>+Tabla123[[#This Row],[PRESUPUESTO ANUAL AUTORIZADO ]]*0.3</f>
        <v>1883232.3</v>
      </c>
      <c r="L29" s="10">
        <f>+Tabla123[[#This Row],[PRESUPUESTO ANUAL AUTORIZADO ]]*0.2</f>
        <v>1255488.2</v>
      </c>
      <c r="M29" s="11">
        <v>6277441</v>
      </c>
      <c r="N29" s="12" t="s">
        <v>19</v>
      </c>
      <c r="O29" s="83">
        <v>45657</v>
      </c>
      <c r="P29" s="8" t="s">
        <v>339</v>
      </c>
    </row>
    <row r="30" spans="1:16" ht="37.5" customHeight="1" x14ac:dyDescent="0.2">
      <c r="A30" s="3">
        <v>516</v>
      </c>
      <c r="B30" s="4" t="s">
        <v>338</v>
      </c>
      <c r="C30" s="5">
        <v>530</v>
      </c>
      <c r="D30" s="6" t="str">
        <f>IF(C30&lt;=0,"",VLOOKUP(C30,[11]FF!A:D,2,0))</f>
        <v>PARTICIPACIONES Ramo 28</v>
      </c>
      <c r="E30" s="5" t="s">
        <v>337</v>
      </c>
      <c r="F30" s="7" t="s">
        <v>22</v>
      </c>
      <c r="G30" s="8">
        <v>382004</v>
      </c>
      <c r="H30" s="9" t="str">
        <f>IF(G30&lt;=0,"",VLOOKUP(G30,[11]COG!A:H,2,0))</f>
        <v>Festividades y Eventos</v>
      </c>
      <c r="I30" s="10">
        <f>+Tabla123[[#This Row],[PRESUPUESTO ANUAL AUTORIZADO ]]*0.2</f>
        <v>1958860</v>
      </c>
      <c r="J30" s="10">
        <f>+Tabla123[[#This Row],[PRESUPUESTO ANUAL AUTORIZADO ]]*0.3</f>
        <v>2938290</v>
      </c>
      <c r="K30" s="10">
        <f>+Tabla123[[#This Row],[PRESUPUESTO ANUAL AUTORIZADO ]]*0.3</f>
        <v>2938290</v>
      </c>
      <c r="L30" s="10">
        <f>+Tabla123[[#This Row],[PRESUPUESTO ANUAL AUTORIZADO ]]*0.2</f>
        <v>1958860</v>
      </c>
      <c r="M30" s="11">
        <v>9794300</v>
      </c>
      <c r="N30" s="12" t="s">
        <v>30</v>
      </c>
      <c r="O30" s="83">
        <v>45717</v>
      </c>
      <c r="P30" s="8" t="s">
        <v>339</v>
      </c>
    </row>
    <row r="31" spans="1:16" ht="37.5" customHeight="1" x14ac:dyDescent="0.2">
      <c r="A31" s="3">
        <v>516</v>
      </c>
      <c r="B31" s="4" t="s">
        <v>338</v>
      </c>
      <c r="C31" s="5">
        <v>530</v>
      </c>
      <c r="D31" s="6" t="str">
        <f>IF(C31&lt;=0,"",VLOOKUP(C31,[11]FF!A:D,2,0))</f>
        <v>PARTICIPACIONES Ramo 28</v>
      </c>
      <c r="E31" s="5" t="s">
        <v>337</v>
      </c>
      <c r="F31" s="7" t="s">
        <v>22</v>
      </c>
      <c r="G31" s="8">
        <v>382003</v>
      </c>
      <c r="H31" s="9" t="str">
        <f>IF(G31&lt;=0,"",VLOOKUP(G31,[11]COG!A:H,2,0))</f>
        <v>Adaptaciones para eventos sociales y culturales</v>
      </c>
      <c r="I31" s="10">
        <f>+Tabla123[[#This Row],[PRESUPUESTO ANUAL AUTORIZADO ]]*0.2</f>
        <v>1213846.2</v>
      </c>
      <c r="J31" s="10">
        <f>+Tabla123[[#This Row],[PRESUPUESTO ANUAL AUTORIZADO ]]*0.3</f>
        <v>1820769.3</v>
      </c>
      <c r="K31" s="10">
        <f>+Tabla123[[#This Row],[PRESUPUESTO ANUAL AUTORIZADO ]]*0.3</f>
        <v>1820769.3</v>
      </c>
      <c r="L31" s="10">
        <f>+Tabla123[[#This Row],[PRESUPUESTO ANUAL AUTORIZADO ]]*0.2</f>
        <v>1213846.2</v>
      </c>
      <c r="M31" s="11">
        <v>6069231</v>
      </c>
      <c r="N31" s="12" t="s">
        <v>30</v>
      </c>
      <c r="O31" s="83">
        <v>45717</v>
      </c>
      <c r="P31" s="8" t="s">
        <v>339</v>
      </c>
    </row>
    <row r="32" spans="1:16" ht="37.5" customHeight="1" x14ac:dyDescent="0.2">
      <c r="A32" s="3">
        <v>516</v>
      </c>
      <c r="B32" s="4" t="s">
        <v>338</v>
      </c>
      <c r="C32" s="5">
        <v>530</v>
      </c>
      <c r="D32" s="6" t="str">
        <f>IF(C32&lt;=0,"",VLOOKUP(C32,[11]FF!A:D,2,0))</f>
        <v>PARTICIPACIONES Ramo 28</v>
      </c>
      <c r="E32" s="5" t="s">
        <v>337</v>
      </c>
      <c r="F32" s="7" t="s">
        <v>15</v>
      </c>
      <c r="G32" s="8">
        <v>216001</v>
      </c>
      <c r="H32" s="9" t="str">
        <f>IF(G32&lt;=0,"",VLOOKUP(G32,[11]COG!A:H,2,0))</f>
        <v>Material de limpieza</v>
      </c>
      <c r="I32" s="10">
        <f>+Tabla123[[#This Row],[PRESUPUESTO ANUAL AUTORIZADO ]]*0.2</f>
        <v>478674.60000000003</v>
      </c>
      <c r="J32" s="10">
        <f>+Tabla123[[#This Row],[PRESUPUESTO ANUAL AUTORIZADO ]]*0.3</f>
        <v>718011.9</v>
      </c>
      <c r="K32" s="10">
        <f>+Tabla123[[#This Row],[PRESUPUESTO ANUAL AUTORIZADO ]]*0.3</f>
        <v>718011.9</v>
      </c>
      <c r="L32" s="10">
        <f>+Tabla123[[#This Row],[PRESUPUESTO ANUAL AUTORIZADO ]]*0.2</f>
        <v>478674.60000000003</v>
      </c>
      <c r="M32" s="56">
        <v>2393373</v>
      </c>
      <c r="N32" s="12" t="s">
        <v>17</v>
      </c>
      <c r="O32" s="83">
        <v>45657</v>
      </c>
      <c r="P32" s="8" t="s">
        <v>296</v>
      </c>
    </row>
    <row r="33" spans="1:16" ht="37.5" customHeight="1" x14ac:dyDescent="0.2">
      <c r="A33" s="3">
        <v>516</v>
      </c>
      <c r="B33" s="4" t="s">
        <v>338</v>
      </c>
      <c r="C33" s="5">
        <v>530</v>
      </c>
      <c r="D33" s="6" t="str">
        <f>IF(C33&lt;=0,"",VLOOKUP(C33,[11]FF!A:D,2,0))</f>
        <v>PARTICIPACIONES Ramo 28</v>
      </c>
      <c r="E33" s="5" t="s">
        <v>337</v>
      </c>
      <c r="F33" s="7" t="s">
        <v>22</v>
      </c>
      <c r="G33" s="8">
        <v>382002</v>
      </c>
      <c r="H33" s="9" t="str">
        <f>IF(G33&lt;=0,"",VLOOKUP(G33,[11]COG!A:H,2,0))</f>
        <v>Gastos de recepción, conmemorativos y de orden social</v>
      </c>
      <c r="I33" s="10">
        <f>+Tabla123[[#This Row],[PRESUPUESTO ANUAL AUTORIZADO ]]*0.2</f>
        <v>215166.80000000002</v>
      </c>
      <c r="J33" s="10">
        <f>+Tabla123[[#This Row],[PRESUPUESTO ANUAL AUTORIZADO ]]*0.3</f>
        <v>322750.2</v>
      </c>
      <c r="K33" s="10">
        <f>+Tabla123[[#This Row],[PRESUPUESTO ANUAL AUTORIZADO ]]*0.3</f>
        <v>322750.2</v>
      </c>
      <c r="L33" s="10">
        <f>+Tabla123[[#This Row],[PRESUPUESTO ANUAL AUTORIZADO ]]*0.2</f>
        <v>215166.80000000002</v>
      </c>
      <c r="M33" s="11">
        <v>1075834</v>
      </c>
      <c r="N33" s="12" t="s">
        <v>20</v>
      </c>
      <c r="O33" s="83">
        <v>45717</v>
      </c>
      <c r="P33" s="8" t="s">
        <v>339</v>
      </c>
    </row>
    <row r="34" spans="1:16" ht="37.5" customHeight="1" x14ac:dyDescent="0.2">
      <c r="A34" s="3">
        <v>516</v>
      </c>
      <c r="B34" s="4" t="s">
        <v>338</v>
      </c>
      <c r="C34" s="5">
        <v>530</v>
      </c>
      <c r="D34" s="6" t="str">
        <f>IF(C34&lt;=0,"",VLOOKUP(C34,[11]FF!A:D,2,0))</f>
        <v>PARTICIPACIONES Ramo 28</v>
      </c>
      <c r="E34" s="5" t="s">
        <v>337</v>
      </c>
      <c r="F34" s="7" t="s">
        <v>21</v>
      </c>
      <c r="G34" s="8">
        <v>541001</v>
      </c>
      <c r="H34" s="9" t="str">
        <f>IF(G34&lt;=0,"",VLOOKUP(G34,[11]COG!A:H,2,0))</f>
        <v>Vehículos y equipo terrestre</v>
      </c>
      <c r="I34" s="10">
        <f>+Tabla123[[#This Row],[PRESUPUESTO ANUAL AUTORIZADO ]]*0.2</f>
        <v>3000000</v>
      </c>
      <c r="J34" s="10">
        <f>+Tabla123[[#This Row],[PRESUPUESTO ANUAL AUTORIZADO ]]*0.3</f>
        <v>4500000</v>
      </c>
      <c r="K34" s="10">
        <f>+Tabla123[[#This Row],[PRESUPUESTO ANUAL AUTORIZADO ]]*0.3</f>
        <v>4500000</v>
      </c>
      <c r="L34" s="10">
        <f>+Tabla123[[#This Row],[PRESUPUESTO ANUAL AUTORIZADO ]]*0.2</f>
        <v>3000000</v>
      </c>
      <c r="M34" s="11">
        <v>15000000</v>
      </c>
      <c r="N34" s="12" t="s">
        <v>30</v>
      </c>
      <c r="O34" s="83">
        <v>45717</v>
      </c>
      <c r="P34" s="8" t="s">
        <v>339</v>
      </c>
    </row>
    <row r="35" spans="1:16" ht="37.5" customHeight="1" x14ac:dyDescent="0.2">
      <c r="A35" s="3">
        <v>516</v>
      </c>
      <c r="B35" s="4" t="s">
        <v>338</v>
      </c>
      <c r="C35" s="5">
        <v>530</v>
      </c>
      <c r="D35" s="6" t="str">
        <f>IF(C35&lt;=0,"",VLOOKUP(C35,[11]FF!A:D,2,0))</f>
        <v>PARTICIPACIONES Ramo 28</v>
      </c>
      <c r="E35" s="5" t="s">
        <v>337</v>
      </c>
      <c r="F35" s="7" t="s">
        <v>21</v>
      </c>
      <c r="G35" s="8">
        <v>520000</v>
      </c>
      <c r="H35" s="9" t="str">
        <f>IF(G35&lt;=0,"",VLOOKUP(G35,[11]COG!A:H,2,0))</f>
        <v>MOBILIARIO Y EQUIPO EDUCACIONAL Y RECREATIVO</v>
      </c>
      <c r="I35" s="10">
        <f>+Tabla123[[#This Row],[PRESUPUESTO ANUAL AUTORIZADO ]]*0.2</f>
        <v>330000</v>
      </c>
      <c r="J35" s="10">
        <f>+Tabla123[[#This Row],[PRESUPUESTO ANUAL AUTORIZADO ]]*0.3</f>
        <v>495000</v>
      </c>
      <c r="K35" s="10">
        <f>+Tabla123[[#This Row],[PRESUPUESTO ANUAL AUTORIZADO ]]*0.3</f>
        <v>495000</v>
      </c>
      <c r="L35" s="10">
        <f>+Tabla123[[#This Row],[PRESUPUESTO ANUAL AUTORIZADO ]]*0.2</f>
        <v>330000</v>
      </c>
      <c r="M35" s="11">
        <v>1650000</v>
      </c>
      <c r="N35" s="12" t="s">
        <v>20</v>
      </c>
      <c r="O35" s="83">
        <v>45717</v>
      </c>
      <c r="P35" s="8" t="s">
        <v>339</v>
      </c>
    </row>
    <row r="36" spans="1:16" ht="37.5" customHeight="1" x14ac:dyDescent="0.2">
      <c r="A36" s="3">
        <v>516</v>
      </c>
      <c r="B36" s="4" t="s">
        <v>338</v>
      </c>
      <c r="C36" s="5">
        <v>530</v>
      </c>
      <c r="D36" s="6" t="str">
        <f>IF(C36&lt;=0,"",VLOOKUP(C36,[11]FF!A:D,2,0))</f>
        <v>PARTICIPACIONES Ramo 28</v>
      </c>
      <c r="E36" s="5" t="s">
        <v>340</v>
      </c>
      <c r="F36" s="7" t="s">
        <v>15</v>
      </c>
      <c r="G36" s="8">
        <v>221001</v>
      </c>
      <c r="H36" s="9" t="str">
        <f>IF(G36&lt;=0,"",VLOOKUP(G36,[11]COG!A:H,2,0))</f>
        <v>Alimentación de personas</v>
      </c>
      <c r="I36" s="10">
        <f>+Tabla123[[#This Row],[PRESUPUESTO ANUAL AUTORIZADO ]]*0.2</f>
        <v>353479</v>
      </c>
      <c r="J36" s="10">
        <f>+Tabla123[[#This Row],[PRESUPUESTO ANUAL AUTORIZADO ]]*0.3</f>
        <v>530218.5</v>
      </c>
      <c r="K36" s="10">
        <f>+Tabla123[[#This Row],[PRESUPUESTO ANUAL AUTORIZADO ]]*0.3</f>
        <v>530218.5</v>
      </c>
      <c r="L36" s="10">
        <f>+Tabla123[[#This Row],[PRESUPUESTO ANUAL AUTORIZADO ]]*0.2</f>
        <v>353479</v>
      </c>
      <c r="M36" s="11">
        <v>1767395</v>
      </c>
      <c r="N36" s="12" t="s">
        <v>20</v>
      </c>
      <c r="O36" s="83">
        <v>45717</v>
      </c>
      <c r="P36" s="8" t="s">
        <v>339</v>
      </c>
    </row>
    <row r="37" spans="1:16" ht="37.5" customHeight="1" x14ac:dyDescent="0.2">
      <c r="A37" s="3">
        <v>516</v>
      </c>
      <c r="B37" s="4" t="s">
        <v>338</v>
      </c>
      <c r="C37" s="5">
        <v>530</v>
      </c>
      <c r="D37" s="6" t="str">
        <f>IF(C37&lt;=0,"",VLOOKUP(C37,[11]FF!A:D,2,0))</f>
        <v>PARTICIPACIONES Ramo 28</v>
      </c>
      <c r="E37" s="5" t="s">
        <v>340</v>
      </c>
      <c r="F37" s="7" t="s">
        <v>15</v>
      </c>
      <c r="G37" s="8">
        <v>216001</v>
      </c>
      <c r="H37" s="9" t="str">
        <f>IF(G37&lt;=0,"",VLOOKUP(G37,[11]COG!A:H,2,0))</f>
        <v>Material de limpieza</v>
      </c>
      <c r="I37" s="10">
        <f>+Tabla123[[#This Row],[PRESUPUESTO ANUAL AUTORIZADO ]]*0.2</f>
        <v>3700</v>
      </c>
      <c r="J37" s="10">
        <f>+Tabla123[[#This Row],[PRESUPUESTO ANUAL AUTORIZADO ]]*0.3</f>
        <v>5550</v>
      </c>
      <c r="K37" s="10">
        <f>+Tabla123[[#This Row],[PRESUPUESTO ANUAL AUTORIZADO ]]*0.3</f>
        <v>5550</v>
      </c>
      <c r="L37" s="10">
        <f>+Tabla123[[#This Row],[PRESUPUESTO ANUAL AUTORIZADO ]]*0.2</f>
        <v>3700</v>
      </c>
      <c r="M37" s="11">
        <v>18500</v>
      </c>
      <c r="N37" s="12" t="s">
        <v>17</v>
      </c>
      <c r="O37" s="83">
        <v>45657</v>
      </c>
      <c r="P37" s="8" t="s">
        <v>356</v>
      </c>
    </row>
    <row r="38" spans="1:16" ht="37.5" customHeight="1" x14ac:dyDescent="0.2">
      <c r="A38" s="3">
        <v>516</v>
      </c>
      <c r="B38" s="4" t="s">
        <v>338</v>
      </c>
      <c r="C38" s="5">
        <v>530</v>
      </c>
      <c r="D38" s="6" t="str">
        <f>IF(C38&lt;=0,"",VLOOKUP(C38,[11]FF!A:D,2,0))</f>
        <v>PARTICIPACIONES Ramo 28</v>
      </c>
      <c r="E38" s="5" t="s">
        <v>340</v>
      </c>
      <c r="F38" s="7" t="s">
        <v>22</v>
      </c>
      <c r="G38" s="8">
        <v>375001</v>
      </c>
      <c r="H38" s="9" t="str">
        <f>IF(G38&lt;=0,"",VLOOKUP(G38,[11]COG!A:H,2,0))</f>
        <v>Viáticos</v>
      </c>
      <c r="I38" s="10">
        <f>+Tabla123[[#This Row],[PRESUPUESTO ANUAL AUTORIZADO ]]*0.2</f>
        <v>79318.200000000012</v>
      </c>
      <c r="J38" s="10">
        <f>+Tabla123[[#This Row],[PRESUPUESTO ANUAL AUTORIZADO ]]*0.3</f>
        <v>118977.29999999999</v>
      </c>
      <c r="K38" s="10">
        <f>+Tabla123[[#This Row],[PRESUPUESTO ANUAL AUTORIZADO ]]*0.3</f>
        <v>118977.29999999999</v>
      </c>
      <c r="L38" s="10">
        <f>+Tabla123[[#This Row],[PRESUPUESTO ANUAL AUTORIZADO ]]*0.2</f>
        <v>79318.200000000012</v>
      </c>
      <c r="M38" s="11">
        <v>396591</v>
      </c>
      <c r="N38" s="12" t="s">
        <v>19</v>
      </c>
      <c r="O38" s="83">
        <v>45657</v>
      </c>
      <c r="P38" s="8" t="s">
        <v>339</v>
      </c>
    </row>
    <row r="39" spans="1:16" ht="37.5" customHeight="1" x14ac:dyDescent="0.2">
      <c r="A39" s="3">
        <v>516</v>
      </c>
      <c r="B39" s="4" t="s">
        <v>338</v>
      </c>
      <c r="C39" s="5">
        <v>530</v>
      </c>
      <c r="D39" s="6" t="str">
        <f>IF(C39&lt;=0,"",VLOOKUP(C39,[11]FF!A:D,2,0))</f>
        <v>PARTICIPACIONES Ramo 28</v>
      </c>
      <c r="E39" s="5" t="s">
        <v>340</v>
      </c>
      <c r="F39" s="7" t="s">
        <v>15</v>
      </c>
      <c r="G39" s="8">
        <v>291001</v>
      </c>
      <c r="H39" s="9" t="str">
        <f>IF(G39&lt;=0,"",VLOOKUP(G39,[11]COG!A:H,2,0))</f>
        <v>Herramientas Auxiliares de Trabajo</v>
      </c>
      <c r="I39" s="10">
        <f>+Tabla123[[#This Row],[PRESUPUESTO ANUAL AUTORIZADO ]]*0.2</f>
        <v>224004.40000000002</v>
      </c>
      <c r="J39" s="10">
        <f>+Tabla123[[#This Row],[PRESUPUESTO ANUAL AUTORIZADO ]]*0.3</f>
        <v>336006.6</v>
      </c>
      <c r="K39" s="10">
        <f>+Tabla123[[#This Row],[PRESUPUESTO ANUAL AUTORIZADO ]]*0.3</f>
        <v>336006.6</v>
      </c>
      <c r="L39" s="10">
        <f>+Tabla123[[#This Row],[PRESUPUESTO ANUAL AUTORIZADO ]]*0.2</f>
        <v>224004.40000000002</v>
      </c>
      <c r="M39" s="11">
        <v>1120022</v>
      </c>
      <c r="N39" s="12" t="s">
        <v>30</v>
      </c>
      <c r="O39" s="83">
        <v>45717</v>
      </c>
      <c r="P39" s="8" t="s">
        <v>339</v>
      </c>
    </row>
    <row r="40" spans="1:16" ht="37.5" customHeight="1" x14ac:dyDescent="0.2">
      <c r="A40" s="3">
        <v>516</v>
      </c>
      <c r="B40" s="4" t="s">
        <v>338</v>
      </c>
      <c r="C40" s="5">
        <v>530</v>
      </c>
      <c r="D40" s="6" t="str">
        <f>IF(C40&lt;=0,"",VLOOKUP(C40,[11]FF!A:D,2,0))</f>
        <v>PARTICIPACIONES Ramo 28</v>
      </c>
      <c r="E40" s="5" t="s">
        <v>340</v>
      </c>
      <c r="F40" s="7" t="s">
        <v>22</v>
      </c>
      <c r="G40" s="8">
        <v>399003</v>
      </c>
      <c r="H40" s="9" t="str">
        <f>IF(G40&lt;=0,"",VLOOKUP(G40,[11]COG!A:H,2,0))</f>
        <v>Otros servicios de la administración pública</v>
      </c>
      <c r="I40" s="10">
        <f>+Tabla123[[#This Row],[PRESUPUESTO ANUAL AUTORIZADO ]]*0.2</f>
        <v>208480</v>
      </c>
      <c r="J40" s="10">
        <f>+Tabla123[[#This Row],[PRESUPUESTO ANUAL AUTORIZADO ]]*0.3</f>
        <v>312720</v>
      </c>
      <c r="K40" s="10">
        <f>+Tabla123[[#This Row],[PRESUPUESTO ANUAL AUTORIZADO ]]*0.3</f>
        <v>312720</v>
      </c>
      <c r="L40" s="10">
        <f>+Tabla123[[#This Row],[PRESUPUESTO ANUAL AUTORIZADO ]]*0.2</f>
        <v>208480</v>
      </c>
      <c r="M40" s="11">
        <v>1042400</v>
      </c>
      <c r="N40" s="12" t="s">
        <v>19</v>
      </c>
      <c r="O40" s="83">
        <v>45657</v>
      </c>
      <c r="P40" s="8" t="s">
        <v>339</v>
      </c>
    </row>
    <row r="41" spans="1:16" ht="37.5" customHeight="1" x14ac:dyDescent="0.2">
      <c r="A41" s="3">
        <v>516</v>
      </c>
      <c r="B41" s="4" t="s">
        <v>338</v>
      </c>
      <c r="C41" s="5">
        <v>530</v>
      </c>
      <c r="D41" s="6" t="str">
        <f>IF(C41&lt;=0,"",VLOOKUP(C41,[11]FF!A:D,2,0))</f>
        <v>PARTICIPACIONES Ramo 28</v>
      </c>
      <c r="E41" s="5" t="s">
        <v>341</v>
      </c>
      <c r="F41" s="7" t="s">
        <v>15</v>
      </c>
      <c r="G41" s="8">
        <v>216001</v>
      </c>
      <c r="H41" s="9" t="str">
        <f>IF(G41&lt;=0,"",VLOOKUP(G41,[11]COG!A:H,2,0))</f>
        <v>Material de limpieza</v>
      </c>
      <c r="I41" s="10">
        <f>+Tabla123[[#This Row],[PRESUPUESTO ANUAL AUTORIZADO ]]*0.2</f>
        <v>520</v>
      </c>
      <c r="J41" s="10">
        <f>+Tabla123[[#This Row],[PRESUPUESTO ANUAL AUTORIZADO ]]*0.3</f>
        <v>780</v>
      </c>
      <c r="K41" s="10">
        <f>+Tabla123[[#This Row],[PRESUPUESTO ANUAL AUTORIZADO ]]*0.3</f>
        <v>780</v>
      </c>
      <c r="L41" s="10">
        <f>+Tabla123[[#This Row],[PRESUPUESTO ANUAL AUTORIZADO ]]*0.2</f>
        <v>520</v>
      </c>
      <c r="M41" s="11">
        <v>2600</v>
      </c>
      <c r="N41" s="12" t="s">
        <v>17</v>
      </c>
      <c r="O41" s="83">
        <v>45657</v>
      </c>
      <c r="P41" s="8" t="s">
        <v>296</v>
      </c>
    </row>
    <row r="42" spans="1:16" ht="37.5" customHeight="1" x14ac:dyDescent="0.2">
      <c r="A42" s="3">
        <v>516</v>
      </c>
      <c r="B42" s="4" t="s">
        <v>338</v>
      </c>
      <c r="C42" s="5">
        <v>530</v>
      </c>
      <c r="D42" s="6" t="str">
        <f>IF(C42&lt;=0,"",VLOOKUP(C42,[11]FF!A:D,2,0))</f>
        <v>PARTICIPACIONES Ramo 28</v>
      </c>
      <c r="E42" s="5" t="s">
        <v>342</v>
      </c>
      <c r="F42" s="7" t="s">
        <v>15</v>
      </c>
      <c r="G42" s="8">
        <v>216001</v>
      </c>
      <c r="H42" s="9" t="str">
        <f>IF(G42&lt;=0,"",VLOOKUP(G42,[11]COG!A:H,2,0))</f>
        <v>Material de limpieza</v>
      </c>
      <c r="I42" s="10">
        <f>+Tabla123[[#This Row],[PRESUPUESTO ANUAL AUTORIZADO ]]*0.2</f>
        <v>5422.4000000000005</v>
      </c>
      <c r="J42" s="10">
        <f>+Tabla123[[#This Row],[PRESUPUESTO ANUAL AUTORIZADO ]]*0.3</f>
        <v>8133.5999999999995</v>
      </c>
      <c r="K42" s="10">
        <f>+Tabla123[[#This Row],[PRESUPUESTO ANUAL AUTORIZADO ]]*0.3</f>
        <v>8133.5999999999995</v>
      </c>
      <c r="L42" s="10">
        <f>+Tabla123[[#This Row],[PRESUPUESTO ANUAL AUTORIZADO ]]*0.2</f>
        <v>5422.4000000000005</v>
      </c>
      <c r="M42" s="11">
        <v>27112</v>
      </c>
      <c r="N42" s="12" t="s">
        <v>17</v>
      </c>
      <c r="O42" s="83">
        <v>45657</v>
      </c>
      <c r="P42" s="8" t="s">
        <v>296</v>
      </c>
    </row>
    <row r="43" spans="1:16" ht="37.5" customHeight="1" x14ac:dyDescent="0.2">
      <c r="A43" s="3">
        <v>516</v>
      </c>
      <c r="B43" s="4" t="s">
        <v>338</v>
      </c>
      <c r="C43" s="5">
        <v>530</v>
      </c>
      <c r="D43" s="6" t="str">
        <f>IF(C43&lt;=0,"",VLOOKUP(C43,[11]FF!A:D,2,0))</f>
        <v>PARTICIPACIONES Ramo 28</v>
      </c>
      <c r="E43" s="5" t="s">
        <v>343</v>
      </c>
      <c r="F43" s="7" t="s">
        <v>15</v>
      </c>
      <c r="G43" s="8">
        <v>216001</v>
      </c>
      <c r="H43" s="9" t="str">
        <f>IF(G43&lt;=0,"",VLOOKUP(G43,[11]COG!A:H,2,0))</f>
        <v>Material de limpieza</v>
      </c>
      <c r="I43" s="10">
        <f>+Tabla123[[#This Row],[PRESUPUESTO ANUAL AUTORIZADO ]]*0.2</f>
        <v>694.2</v>
      </c>
      <c r="J43" s="10">
        <f>+Tabla123[[#This Row],[PRESUPUESTO ANUAL AUTORIZADO ]]*0.3</f>
        <v>1041.3</v>
      </c>
      <c r="K43" s="10">
        <f>+Tabla123[[#This Row],[PRESUPUESTO ANUAL AUTORIZADO ]]*0.3</f>
        <v>1041.3</v>
      </c>
      <c r="L43" s="10">
        <f>+Tabla123[[#This Row],[PRESUPUESTO ANUAL AUTORIZADO ]]*0.2</f>
        <v>694.2</v>
      </c>
      <c r="M43" s="11">
        <v>3471</v>
      </c>
      <c r="N43" s="12" t="s">
        <v>17</v>
      </c>
      <c r="O43" s="83">
        <v>45657</v>
      </c>
      <c r="P43" s="8" t="s">
        <v>296</v>
      </c>
    </row>
    <row r="44" spans="1:16" ht="37.5" customHeight="1" x14ac:dyDescent="0.2">
      <c r="A44" s="3">
        <v>517</v>
      </c>
      <c r="B44" s="4" t="s">
        <v>338</v>
      </c>
      <c r="C44" s="5">
        <v>530</v>
      </c>
      <c r="D44" s="6" t="str">
        <f>IF(C44&lt;=0,"",VLOOKUP(C44,[11]FF!A:D,2,0))</f>
        <v>PARTICIPACIONES Ramo 28</v>
      </c>
      <c r="E44" s="5" t="s">
        <v>344</v>
      </c>
      <c r="F44" s="7" t="s">
        <v>15</v>
      </c>
      <c r="G44" s="8">
        <v>216001</v>
      </c>
      <c r="H44" s="9" t="str">
        <f>IF(G44&lt;=0,"",VLOOKUP(G44,[11]COG!A:H,2,0))</f>
        <v>Material de limpieza</v>
      </c>
      <c r="I44" s="10">
        <f>+Tabla123[[#This Row],[PRESUPUESTO ANUAL AUTORIZADO ]]*0.2</f>
        <v>995</v>
      </c>
      <c r="J44" s="10">
        <f>+Tabla123[[#This Row],[PRESUPUESTO ANUAL AUTORIZADO ]]*0.3</f>
        <v>1492.5</v>
      </c>
      <c r="K44" s="10">
        <f>+Tabla123[[#This Row],[PRESUPUESTO ANUAL AUTORIZADO ]]*0.3</f>
        <v>1492.5</v>
      </c>
      <c r="L44" s="10">
        <f>+Tabla123[[#This Row],[PRESUPUESTO ANUAL AUTORIZADO ]]*0.2</f>
        <v>995</v>
      </c>
      <c r="M44" s="11">
        <v>4975</v>
      </c>
      <c r="N44" s="12" t="s">
        <v>17</v>
      </c>
      <c r="O44" s="83">
        <v>45657</v>
      </c>
      <c r="P44" s="8" t="s">
        <v>296</v>
      </c>
    </row>
    <row r="45" spans="1:16" ht="37.5" customHeight="1" x14ac:dyDescent="0.2">
      <c r="A45" s="3">
        <v>517</v>
      </c>
      <c r="B45" s="4" t="s">
        <v>338</v>
      </c>
      <c r="C45" s="5">
        <v>530</v>
      </c>
      <c r="D45" s="6" t="str">
        <f>IF(C45&lt;=0,"",VLOOKUP(C45,[11]FF!A:D,2,0))</f>
        <v>PARTICIPACIONES Ramo 28</v>
      </c>
      <c r="E45" s="5" t="s">
        <v>346</v>
      </c>
      <c r="F45" s="7" t="s">
        <v>15</v>
      </c>
      <c r="G45" s="8">
        <v>216001</v>
      </c>
      <c r="H45" s="9" t="str">
        <f>IF(G45&lt;=0,"",VLOOKUP(G45,[11]COG!A:H,2,0))</f>
        <v>Material de limpieza</v>
      </c>
      <c r="I45" s="10">
        <f>+Tabla123[[#This Row],[PRESUPUESTO ANUAL AUTORIZADO ]]*0.2</f>
        <v>596.4</v>
      </c>
      <c r="J45" s="10">
        <f>+Tabla123[[#This Row],[PRESUPUESTO ANUAL AUTORIZADO ]]*0.3</f>
        <v>894.6</v>
      </c>
      <c r="K45" s="10">
        <f>+Tabla123[[#This Row],[PRESUPUESTO ANUAL AUTORIZADO ]]*0.3</f>
        <v>894.6</v>
      </c>
      <c r="L45" s="10">
        <f>+Tabla123[[#This Row],[PRESUPUESTO ANUAL AUTORIZADO ]]*0.2</f>
        <v>596.4</v>
      </c>
      <c r="M45" s="11">
        <v>2982</v>
      </c>
      <c r="N45" s="12" t="s">
        <v>17</v>
      </c>
      <c r="O45" s="83">
        <v>45657</v>
      </c>
      <c r="P45" s="8" t="s">
        <v>296</v>
      </c>
    </row>
    <row r="46" spans="1:16" ht="37.5" customHeight="1" x14ac:dyDescent="0.2">
      <c r="A46" s="3">
        <v>517</v>
      </c>
      <c r="B46" s="4" t="s">
        <v>338</v>
      </c>
      <c r="C46" s="5">
        <v>530</v>
      </c>
      <c r="D46" s="6" t="str">
        <f>IF(C46&lt;=0,"",VLOOKUP(C46,[11]FF!A:D,2,0))</f>
        <v>PARTICIPACIONES Ramo 28</v>
      </c>
      <c r="E46" s="5" t="s">
        <v>348</v>
      </c>
      <c r="F46" s="7" t="s">
        <v>15</v>
      </c>
      <c r="G46" s="8">
        <v>216001</v>
      </c>
      <c r="H46" s="9" t="str">
        <f>IF(G46&lt;=0,"",VLOOKUP(G46,[11]COG!A:H,2,0))</f>
        <v>Material de limpieza</v>
      </c>
      <c r="I46" s="10">
        <f>+Tabla123[[#This Row],[PRESUPUESTO ANUAL AUTORIZADO ]]*0.2</f>
        <v>1491.2</v>
      </c>
      <c r="J46" s="10">
        <f>+Tabla123[[#This Row],[PRESUPUESTO ANUAL AUTORIZADO ]]*0.3</f>
        <v>2236.7999999999997</v>
      </c>
      <c r="K46" s="10">
        <f>+Tabla123[[#This Row],[PRESUPUESTO ANUAL AUTORIZADO ]]*0.3</f>
        <v>2236.7999999999997</v>
      </c>
      <c r="L46" s="10">
        <f>+Tabla123[[#This Row],[PRESUPUESTO ANUAL AUTORIZADO ]]*0.2</f>
        <v>1491.2</v>
      </c>
      <c r="M46" s="11">
        <v>7456</v>
      </c>
      <c r="N46" s="12" t="s">
        <v>17</v>
      </c>
      <c r="O46" s="83">
        <v>45657</v>
      </c>
      <c r="P46" s="8" t="s">
        <v>296</v>
      </c>
    </row>
    <row r="47" spans="1:16" ht="37.5" customHeight="1" x14ac:dyDescent="0.2">
      <c r="A47" s="3">
        <v>517</v>
      </c>
      <c r="B47" s="4" t="s">
        <v>338</v>
      </c>
      <c r="C47" s="5">
        <v>530</v>
      </c>
      <c r="D47" s="6" t="str">
        <f>IF(C47&lt;=0,"",VLOOKUP(C47,[11]FF!A:D,2,0))</f>
        <v>PARTICIPACIONES Ramo 28</v>
      </c>
      <c r="E47" s="5" t="s">
        <v>349</v>
      </c>
      <c r="F47" s="7" t="s">
        <v>15</v>
      </c>
      <c r="G47" s="8">
        <v>216001</v>
      </c>
      <c r="H47" s="9" t="str">
        <f>IF(G47&lt;=0,"",VLOOKUP(G47,[11]COG!A:H,2,0))</f>
        <v>Material de limpieza</v>
      </c>
      <c r="I47" s="10">
        <f>+Tabla123[[#This Row],[PRESUPUESTO ANUAL AUTORIZADO ]]*0.2</f>
        <v>10600</v>
      </c>
      <c r="J47" s="10">
        <f>+Tabla123[[#This Row],[PRESUPUESTO ANUAL AUTORIZADO ]]*0.3</f>
        <v>15900</v>
      </c>
      <c r="K47" s="10">
        <f>+Tabla123[[#This Row],[PRESUPUESTO ANUAL AUTORIZADO ]]*0.3</f>
        <v>15900</v>
      </c>
      <c r="L47" s="10">
        <f>+Tabla123[[#This Row],[PRESUPUESTO ANUAL AUTORIZADO ]]*0.2</f>
        <v>10600</v>
      </c>
      <c r="M47" s="11">
        <v>53000</v>
      </c>
      <c r="N47" s="12" t="s">
        <v>17</v>
      </c>
      <c r="O47" s="83">
        <v>45657</v>
      </c>
      <c r="P47" s="8" t="s">
        <v>296</v>
      </c>
    </row>
    <row r="48" spans="1:16" ht="37.5" customHeight="1" x14ac:dyDescent="0.2">
      <c r="A48" s="3">
        <v>518</v>
      </c>
      <c r="B48" s="4" t="s">
        <v>338</v>
      </c>
      <c r="C48" s="5">
        <v>530</v>
      </c>
      <c r="D48" s="6" t="str">
        <f>IF(C48&lt;=0,"",VLOOKUP(C48,[11]FF!A:D,2,0))</f>
        <v>PARTICIPACIONES Ramo 28</v>
      </c>
      <c r="E48" s="5" t="s">
        <v>350</v>
      </c>
      <c r="F48" s="7" t="s">
        <v>15</v>
      </c>
      <c r="G48" s="8">
        <v>216001</v>
      </c>
      <c r="H48" s="9" t="str">
        <f>IF(G48&lt;=0,"",VLOOKUP(G48,[11]COG!A:H,2,0))</f>
        <v>Material de limpieza</v>
      </c>
      <c r="I48" s="10">
        <f>+Tabla123[[#This Row],[PRESUPUESTO ANUAL AUTORIZADO ]]*0.2</f>
        <v>2784</v>
      </c>
      <c r="J48" s="10">
        <f>+Tabla123[[#This Row],[PRESUPUESTO ANUAL AUTORIZADO ]]*0.3</f>
        <v>4176</v>
      </c>
      <c r="K48" s="10">
        <f>+Tabla123[[#This Row],[PRESUPUESTO ANUAL AUTORIZADO ]]*0.3</f>
        <v>4176</v>
      </c>
      <c r="L48" s="10">
        <f>+Tabla123[[#This Row],[PRESUPUESTO ANUAL AUTORIZADO ]]*0.2</f>
        <v>2784</v>
      </c>
      <c r="M48" s="11">
        <v>13920</v>
      </c>
      <c r="N48" s="12" t="s">
        <v>17</v>
      </c>
      <c r="O48" s="83">
        <v>45657</v>
      </c>
      <c r="P48" s="8" t="s">
        <v>296</v>
      </c>
    </row>
    <row r="49" spans="1:16" ht="37.5" customHeight="1" x14ac:dyDescent="0.2">
      <c r="A49" s="3">
        <v>518</v>
      </c>
      <c r="B49" s="4" t="s">
        <v>338</v>
      </c>
      <c r="C49" s="5">
        <v>530</v>
      </c>
      <c r="D49" s="6" t="str">
        <f>IF(C49&lt;=0,"",VLOOKUP(C49,[11]FF!A:D,2,0))</f>
        <v>PARTICIPACIONES Ramo 28</v>
      </c>
      <c r="E49" s="5" t="s">
        <v>351</v>
      </c>
      <c r="F49" s="7" t="s">
        <v>15</v>
      </c>
      <c r="G49" s="8">
        <v>216001</v>
      </c>
      <c r="H49" s="9" t="str">
        <f>IF(G49&lt;=0,"",VLOOKUP(G49,[11]COG!A:H,2,0))</f>
        <v>Material de limpieza</v>
      </c>
      <c r="I49" s="10">
        <f>+Tabla123[[#This Row],[PRESUPUESTO ANUAL AUTORIZADO ]]*0.2</f>
        <v>220.4</v>
      </c>
      <c r="J49" s="10">
        <f>+Tabla123[[#This Row],[PRESUPUESTO ANUAL AUTORIZADO ]]*0.3</f>
        <v>330.59999999999997</v>
      </c>
      <c r="K49" s="10">
        <f>+Tabla123[[#This Row],[PRESUPUESTO ANUAL AUTORIZADO ]]*0.3</f>
        <v>330.59999999999997</v>
      </c>
      <c r="L49" s="10">
        <f>+Tabla123[[#This Row],[PRESUPUESTO ANUAL AUTORIZADO ]]*0.2</f>
        <v>220.4</v>
      </c>
      <c r="M49" s="11">
        <v>1102</v>
      </c>
      <c r="N49" s="12" t="s">
        <v>17</v>
      </c>
      <c r="O49" s="83">
        <v>45657</v>
      </c>
      <c r="P49" s="8" t="s">
        <v>296</v>
      </c>
    </row>
    <row r="50" spans="1:16" ht="37.5" customHeight="1" x14ac:dyDescent="0.2">
      <c r="A50" s="3">
        <v>518</v>
      </c>
      <c r="B50" s="4" t="s">
        <v>338</v>
      </c>
      <c r="C50" s="5">
        <v>530</v>
      </c>
      <c r="D50" s="6" t="str">
        <f>IF(C50&lt;=0,"",VLOOKUP(C50,[11]FF!A:D,2,0))</f>
        <v>PARTICIPACIONES Ramo 28</v>
      </c>
      <c r="E50" s="5" t="s">
        <v>352</v>
      </c>
      <c r="F50" s="7" t="s">
        <v>15</v>
      </c>
      <c r="G50" s="8">
        <v>216001</v>
      </c>
      <c r="H50" s="9" t="str">
        <f>IF(G50&lt;=0,"",VLOOKUP(G50,[11]COG!A:H,2,0))</f>
        <v>Material de limpieza</v>
      </c>
      <c r="I50" s="10">
        <f>+Tabla123[[#This Row],[PRESUPUESTO ANUAL AUTORIZADO ]]*0.2</f>
        <v>232.60000000000002</v>
      </c>
      <c r="J50" s="10">
        <f>+Tabla123[[#This Row],[PRESUPUESTO ANUAL AUTORIZADO ]]*0.3</f>
        <v>348.9</v>
      </c>
      <c r="K50" s="10">
        <f>+Tabla123[[#This Row],[PRESUPUESTO ANUAL AUTORIZADO ]]*0.3</f>
        <v>348.9</v>
      </c>
      <c r="L50" s="10">
        <f>+Tabla123[[#This Row],[PRESUPUESTO ANUAL AUTORIZADO ]]*0.2</f>
        <v>232.60000000000002</v>
      </c>
      <c r="M50" s="11">
        <v>1163</v>
      </c>
      <c r="N50" s="12" t="s">
        <v>17</v>
      </c>
      <c r="O50" s="83">
        <v>45657</v>
      </c>
      <c r="P50" s="8" t="s">
        <v>296</v>
      </c>
    </row>
    <row r="51" spans="1:16" ht="37.5" customHeight="1" x14ac:dyDescent="0.2">
      <c r="A51" s="3">
        <v>516</v>
      </c>
      <c r="B51" s="4" t="s">
        <v>338</v>
      </c>
      <c r="C51" s="5">
        <v>530</v>
      </c>
      <c r="D51" s="6" t="str">
        <f>IF(C51&lt;=0,"",VLOOKUP(C51,[11]FF!A:D,2,0))</f>
        <v>PARTICIPACIONES Ramo 28</v>
      </c>
      <c r="E51" s="5" t="s">
        <v>340</v>
      </c>
      <c r="F51" s="7" t="s">
        <v>22</v>
      </c>
      <c r="G51" s="8">
        <v>345001</v>
      </c>
      <c r="H51" s="9" t="str">
        <f>IF(G51&lt;=0,"",VLOOKUP(G51,[11]COG!A:H,2,0))</f>
        <v>Seguros</v>
      </c>
      <c r="I51" s="10">
        <f>+Tabla123[[#This Row],[PRESUPUESTO ANUAL AUTORIZADO ]]*0.2</f>
        <v>334731.2</v>
      </c>
      <c r="J51" s="10">
        <f>+Tabla123[[#This Row],[PRESUPUESTO ANUAL AUTORIZADO ]]*0.3</f>
        <v>502096.8</v>
      </c>
      <c r="K51" s="10">
        <f>+Tabla123[[#This Row],[PRESUPUESTO ANUAL AUTORIZADO ]]*0.3</f>
        <v>502096.8</v>
      </c>
      <c r="L51" s="10">
        <f>+Tabla123[[#This Row],[PRESUPUESTO ANUAL AUTORIZADO ]]*0.2</f>
        <v>334731.2</v>
      </c>
      <c r="M51" s="11">
        <v>1673656</v>
      </c>
      <c r="N51" s="12" t="s">
        <v>30</v>
      </c>
      <c r="O51" s="83">
        <v>45657</v>
      </c>
      <c r="P51" s="8" t="s">
        <v>339</v>
      </c>
    </row>
    <row r="52" spans="1:16" ht="37.5" customHeight="1" x14ac:dyDescent="0.2">
      <c r="A52" s="3">
        <v>516</v>
      </c>
      <c r="B52" s="4" t="s">
        <v>338</v>
      </c>
      <c r="C52" s="5">
        <v>530</v>
      </c>
      <c r="D52" s="6" t="str">
        <f>IF(C52&lt;=0,"",VLOOKUP(C52,[11]FF!A:D,2,0))</f>
        <v>PARTICIPACIONES Ramo 28</v>
      </c>
      <c r="E52" s="5" t="s">
        <v>342</v>
      </c>
      <c r="F52" s="7" t="s">
        <v>22</v>
      </c>
      <c r="G52" s="8">
        <v>351001</v>
      </c>
      <c r="H52" s="9" t="str">
        <f>IF(G52&lt;=0,"",VLOOKUP(G52,[11]COG!A:H,2,0))</f>
        <v>Mantenimiento de inmuebles</v>
      </c>
      <c r="I52" s="10">
        <f>+Tabla123[[#This Row],[PRESUPUESTO ANUAL AUTORIZADO ]]*0.2</f>
        <v>857082</v>
      </c>
      <c r="J52" s="10">
        <f>+Tabla123[[#This Row],[PRESUPUESTO ANUAL AUTORIZADO ]]*0.3</f>
        <v>1285623</v>
      </c>
      <c r="K52" s="10">
        <f>+Tabla123[[#This Row],[PRESUPUESTO ANUAL AUTORIZADO ]]*0.3</f>
        <v>1285623</v>
      </c>
      <c r="L52" s="10">
        <f>+Tabla123[[#This Row],[PRESUPUESTO ANUAL AUTORIZADO ]]*0.2</f>
        <v>857082</v>
      </c>
      <c r="M52" s="11">
        <v>4285410</v>
      </c>
      <c r="N52" s="12" t="s">
        <v>30</v>
      </c>
      <c r="O52" s="83">
        <v>45717</v>
      </c>
      <c r="P52" s="8" t="s">
        <v>339</v>
      </c>
    </row>
    <row r="53" spans="1:16" ht="37.5" customHeight="1" x14ac:dyDescent="0.2">
      <c r="A53" s="3">
        <v>516</v>
      </c>
      <c r="B53" s="4" t="s">
        <v>338</v>
      </c>
      <c r="C53" s="5">
        <v>530</v>
      </c>
      <c r="D53" s="6" t="str">
        <f>IF(C53&lt;=0,"",VLOOKUP(C53,[11]FF!A:D,2,0))</f>
        <v>PARTICIPACIONES Ramo 28</v>
      </c>
      <c r="E53" s="5" t="s">
        <v>340</v>
      </c>
      <c r="F53" s="7" t="s">
        <v>22</v>
      </c>
      <c r="G53" s="8">
        <v>355001</v>
      </c>
      <c r="H53" s="9" t="str">
        <f>IF(G53&lt;=0,"",VLOOKUP(G53,[11]COG!A:H,2,0))</f>
        <v>Mantto. y conservación de vehículos terrestres, aéreos, marítimos, lacustres y fluviales</v>
      </c>
      <c r="I53" s="10">
        <f>+Tabla123[[#This Row],[PRESUPUESTO ANUAL AUTORIZADO ]]*0.2</f>
        <v>137524</v>
      </c>
      <c r="J53" s="10">
        <f>+Tabla123[[#This Row],[PRESUPUESTO ANUAL AUTORIZADO ]]*0.3</f>
        <v>206286</v>
      </c>
      <c r="K53" s="10">
        <f>+Tabla123[[#This Row],[PRESUPUESTO ANUAL AUTORIZADO ]]*0.3</f>
        <v>206286</v>
      </c>
      <c r="L53" s="10">
        <f>+Tabla123[[#This Row],[PRESUPUESTO ANUAL AUTORIZADO ]]*0.2</f>
        <v>137524</v>
      </c>
      <c r="M53" s="11">
        <v>687620</v>
      </c>
      <c r="N53" s="12" t="s">
        <v>20</v>
      </c>
      <c r="O53" s="83">
        <v>45717</v>
      </c>
      <c r="P53" s="8" t="s">
        <v>339</v>
      </c>
    </row>
    <row r="54" spans="1:16" ht="37.5" customHeight="1" x14ac:dyDescent="0.2">
      <c r="A54" s="3">
        <v>520</v>
      </c>
      <c r="B54" s="4" t="s">
        <v>338</v>
      </c>
      <c r="C54" s="5">
        <v>530</v>
      </c>
      <c r="D54" s="6" t="str">
        <f>IF(C54&lt;=0,"",VLOOKUP(C54,[11]FF!A:D,2,0))</f>
        <v>PARTICIPACIONES Ramo 28</v>
      </c>
      <c r="E54" s="5" t="s">
        <v>357</v>
      </c>
      <c r="F54" s="7" t="s">
        <v>22</v>
      </c>
      <c r="G54" s="8">
        <v>345001</v>
      </c>
      <c r="H54" s="9" t="str">
        <f>IF(G54&lt;=0,"",VLOOKUP(G54,[11]COG!A:H,2,0))</f>
        <v>Seguros</v>
      </c>
      <c r="I54" s="10">
        <f>+Tabla123[[#This Row],[PRESUPUESTO ANUAL AUTORIZADO ]]*0.2</f>
        <v>800000</v>
      </c>
      <c r="J54" s="10">
        <f>+Tabla123[[#This Row],[PRESUPUESTO ANUAL AUTORIZADO ]]*0.3</f>
        <v>1200000</v>
      </c>
      <c r="K54" s="10">
        <f>+Tabla123[[#This Row],[PRESUPUESTO ANUAL AUTORIZADO ]]*0.3</f>
        <v>1200000</v>
      </c>
      <c r="L54" s="10">
        <f>+Tabla123[[#This Row],[PRESUPUESTO ANUAL AUTORIZADO ]]*0.2</f>
        <v>800000</v>
      </c>
      <c r="M54" s="11">
        <v>4000000</v>
      </c>
      <c r="N54" s="12" t="s">
        <v>30</v>
      </c>
      <c r="O54" s="83">
        <v>45717</v>
      </c>
      <c r="P54" s="8" t="s">
        <v>339</v>
      </c>
    </row>
    <row r="55" spans="1:16" ht="37.5" customHeight="1" x14ac:dyDescent="0.2">
      <c r="A55" s="3">
        <v>518</v>
      </c>
      <c r="B55" s="4" t="s">
        <v>338</v>
      </c>
      <c r="C55" s="5">
        <v>530</v>
      </c>
      <c r="D55" s="6" t="str">
        <f>IF(C55&lt;=0,"",VLOOKUP(C55,[11]FF!A:D,2,0))</f>
        <v>PARTICIPACIONES Ramo 28</v>
      </c>
      <c r="E55" s="5" t="s">
        <v>353</v>
      </c>
      <c r="F55" s="7" t="s">
        <v>15</v>
      </c>
      <c r="G55" s="8">
        <v>216001</v>
      </c>
      <c r="H55" s="9" t="str">
        <f>IF(G55&lt;=0,"",VLOOKUP(G55,[11]COG!A:H,2,0))</f>
        <v>Material de limpieza</v>
      </c>
      <c r="I55" s="10">
        <f>+Tabla123[[#This Row],[PRESUPUESTO ANUAL AUTORIZADO ]]*0.2</f>
        <v>365.6</v>
      </c>
      <c r="J55" s="10">
        <f>+Tabla123[[#This Row],[PRESUPUESTO ANUAL AUTORIZADO ]]*0.3</f>
        <v>548.4</v>
      </c>
      <c r="K55" s="10">
        <f>+Tabla123[[#This Row],[PRESUPUESTO ANUAL AUTORIZADO ]]*0.3</f>
        <v>548.4</v>
      </c>
      <c r="L55" s="10">
        <f>+Tabla123[[#This Row],[PRESUPUESTO ANUAL AUTORIZADO ]]*0.2</f>
        <v>365.6</v>
      </c>
      <c r="M55" s="11">
        <v>1828</v>
      </c>
      <c r="N55" s="12" t="s">
        <v>17</v>
      </c>
      <c r="O55" s="83">
        <v>45657</v>
      </c>
      <c r="P55" s="8" t="s">
        <v>296</v>
      </c>
    </row>
    <row r="56" spans="1:16" ht="37.5" customHeight="1" x14ac:dyDescent="0.2">
      <c r="A56" s="3">
        <v>519</v>
      </c>
      <c r="B56" s="4" t="s">
        <v>338</v>
      </c>
      <c r="C56" s="5">
        <v>530</v>
      </c>
      <c r="D56" s="6" t="str">
        <f>IF(C56&lt;=0,"",VLOOKUP(C56,[11]FF!A:D,2,0))</f>
        <v>PARTICIPACIONES Ramo 28</v>
      </c>
      <c r="E56" s="5" t="s">
        <v>354</v>
      </c>
      <c r="F56" s="7" t="s">
        <v>15</v>
      </c>
      <c r="G56" s="8">
        <v>216001</v>
      </c>
      <c r="H56" s="9" t="str">
        <f>IF(G56&lt;=0,"",VLOOKUP(G56,[11]COG!A:H,2,0))</f>
        <v>Material de limpieza</v>
      </c>
      <c r="I56" s="10">
        <f>+Tabla123[[#This Row],[PRESUPUESTO ANUAL AUTORIZADO ]]*0.2</f>
        <v>1120.6000000000001</v>
      </c>
      <c r="J56" s="10">
        <f>+Tabla123[[#This Row],[PRESUPUESTO ANUAL AUTORIZADO ]]*0.3</f>
        <v>1680.8999999999999</v>
      </c>
      <c r="K56" s="10">
        <f>+Tabla123[[#This Row],[PRESUPUESTO ANUAL AUTORIZADO ]]*0.3</f>
        <v>1680.8999999999999</v>
      </c>
      <c r="L56" s="10">
        <f>+Tabla123[[#This Row],[PRESUPUESTO ANUAL AUTORIZADO ]]*0.2</f>
        <v>1120.6000000000001</v>
      </c>
      <c r="M56" s="11">
        <v>5603</v>
      </c>
      <c r="N56" s="12" t="s">
        <v>17</v>
      </c>
      <c r="O56" s="83">
        <v>45657</v>
      </c>
      <c r="P56" s="8" t="s">
        <v>296</v>
      </c>
    </row>
    <row r="57" spans="1:16" ht="37.5" customHeight="1" x14ac:dyDescent="0.2">
      <c r="A57" s="3">
        <v>520</v>
      </c>
      <c r="B57" s="4" t="s">
        <v>338</v>
      </c>
      <c r="C57" s="5">
        <v>530</v>
      </c>
      <c r="D57" s="6" t="str">
        <f>IF(C57&lt;=0,"",VLOOKUP(C57,[11]FF!A:D,2,0))</f>
        <v>PARTICIPACIONES Ramo 28</v>
      </c>
      <c r="E57" s="5" t="s">
        <v>355</v>
      </c>
      <c r="F57" s="7" t="s">
        <v>15</v>
      </c>
      <c r="G57" s="8">
        <v>216001</v>
      </c>
      <c r="H57" s="9" t="str">
        <f>IF(G57&lt;=0,"",VLOOKUP(G57,[11]COG!A:H,2,0))</f>
        <v>Material de limpieza</v>
      </c>
      <c r="I57" s="10">
        <f>+Tabla123[[#This Row],[PRESUPUESTO ANUAL AUTORIZADO ]]*0.2</f>
        <v>931.40000000000009</v>
      </c>
      <c r="J57" s="10">
        <f>+Tabla123[[#This Row],[PRESUPUESTO ANUAL AUTORIZADO ]]*0.3</f>
        <v>1397.1</v>
      </c>
      <c r="K57" s="10">
        <f>+Tabla123[[#This Row],[PRESUPUESTO ANUAL AUTORIZADO ]]*0.3</f>
        <v>1397.1</v>
      </c>
      <c r="L57" s="10">
        <f>+Tabla123[[#This Row],[PRESUPUESTO ANUAL AUTORIZADO ]]*0.2</f>
        <v>931.40000000000009</v>
      </c>
      <c r="M57" s="11">
        <v>4657</v>
      </c>
      <c r="N57" s="12" t="s">
        <v>17</v>
      </c>
      <c r="O57" s="83">
        <v>45657</v>
      </c>
      <c r="P57" s="8" t="s">
        <v>296</v>
      </c>
    </row>
    <row r="58" spans="1:16" ht="37.5" customHeight="1" x14ac:dyDescent="0.2">
      <c r="A58" s="3">
        <v>516</v>
      </c>
      <c r="B58" s="4" t="s">
        <v>338</v>
      </c>
      <c r="C58" s="5">
        <v>530</v>
      </c>
      <c r="D58" s="6" t="str">
        <f>IF(C58&lt;=0,"",VLOOKUP(C58,[11]FF!A:D,2,0))</f>
        <v>PARTICIPACIONES Ramo 28</v>
      </c>
      <c r="E58" s="5" t="s">
        <v>337</v>
      </c>
      <c r="F58" s="7" t="s">
        <v>15</v>
      </c>
      <c r="G58" s="8">
        <v>261001</v>
      </c>
      <c r="H58" s="9" t="str">
        <f>IF(G58&lt;=0,"",VLOOKUP(G58,[11]COG!A:H,2,0))</f>
        <v>Combustibles</v>
      </c>
      <c r="I58" s="10">
        <f>+Tabla123[[#This Row],[PRESUPUESTO ANUAL AUTORIZADO ]]*0.2</f>
        <v>851899.76</v>
      </c>
      <c r="J58" s="10">
        <f>+Tabla123[[#This Row],[PRESUPUESTO ANUAL AUTORIZADO ]]*0.3</f>
        <v>1277849.6399999999</v>
      </c>
      <c r="K58" s="10">
        <f>+Tabla123[[#This Row],[PRESUPUESTO ANUAL AUTORIZADO ]]*0.3</f>
        <v>1277849.6399999999</v>
      </c>
      <c r="L58" s="10">
        <f>+Tabla123[[#This Row],[PRESUPUESTO ANUAL AUTORIZADO ]]*0.2</f>
        <v>851899.76</v>
      </c>
      <c r="M58" s="11">
        <v>4259498.8</v>
      </c>
      <c r="N58" s="12" t="s">
        <v>17</v>
      </c>
      <c r="O58" s="83">
        <v>45657</v>
      </c>
      <c r="P58" s="8" t="s">
        <v>296</v>
      </c>
    </row>
    <row r="59" spans="1:16" ht="37.5" customHeight="1" x14ac:dyDescent="0.2">
      <c r="A59" s="3">
        <v>516</v>
      </c>
      <c r="B59" s="4" t="s">
        <v>338</v>
      </c>
      <c r="C59" s="5">
        <v>530</v>
      </c>
      <c r="D59" s="6" t="str">
        <f>IF(C59&lt;=0,"",VLOOKUP(C59,[11]FF!A:D,2,0))</f>
        <v>PARTICIPACIONES Ramo 28</v>
      </c>
      <c r="E59" s="5" t="s">
        <v>340</v>
      </c>
      <c r="F59" s="7" t="s">
        <v>15</v>
      </c>
      <c r="G59" s="8">
        <v>261001</v>
      </c>
      <c r="H59" s="9" t="str">
        <f>IF(G59&lt;=0,"",VLOOKUP(G59,[11]COG!A:H,2,0))</f>
        <v>Combustibles</v>
      </c>
      <c r="I59" s="10">
        <f>+Tabla123[[#This Row],[PRESUPUESTO ANUAL AUTORIZADO ]]*0.2</f>
        <v>18967.2</v>
      </c>
      <c r="J59" s="10">
        <f>+Tabla123[[#This Row],[PRESUPUESTO ANUAL AUTORIZADO ]]*0.3</f>
        <v>28450.799999999999</v>
      </c>
      <c r="K59" s="10">
        <f>+Tabla123[[#This Row],[PRESUPUESTO ANUAL AUTORIZADO ]]*0.3</f>
        <v>28450.799999999999</v>
      </c>
      <c r="L59" s="10">
        <f>+Tabla123[[#This Row],[PRESUPUESTO ANUAL AUTORIZADO ]]*0.2</f>
        <v>18967.2</v>
      </c>
      <c r="M59" s="11">
        <v>94836</v>
      </c>
      <c r="N59" s="12" t="s">
        <v>17</v>
      </c>
      <c r="O59" s="83">
        <v>45657</v>
      </c>
      <c r="P59" s="8" t="s">
        <v>296</v>
      </c>
    </row>
    <row r="60" spans="1:16" ht="37.5" customHeight="1" x14ac:dyDescent="0.2">
      <c r="A60" s="3">
        <v>516</v>
      </c>
      <c r="B60" s="4" t="s">
        <v>338</v>
      </c>
      <c r="C60" s="5">
        <v>530</v>
      </c>
      <c r="D60" s="6" t="str">
        <f>IF(C60&lt;=0,"",VLOOKUP(C60,[11]FF!A:D,2,0))</f>
        <v>PARTICIPACIONES Ramo 28</v>
      </c>
      <c r="E60" s="5" t="s">
        <v>340</v>
      </c>
      <c r="F60" s="7" t="s">
        <v>22</v>
      </c>
      <c r="G60" s="8">
        <v>322001</v>
      </c>
      <c r="H60" s="9" t="str">
        <f>IF(G60&lt;=0,"",VLOOKUP(G60,[11]COG!A:H,2,0))</f>
        <v>Arrendamiento de edificios</v>
      </c>
      <c r="I60" s="10">
        <f>+Tabla123[[#This Row],[PRESUPUESTO ANUAL AUTORIZADO ]]*0.2</f>
        <v>1085291.2</v>
      </c>
      <c r="J60" s="10">
        <f>+Tabla123[[#This Row],[PRESUPUESTO ANUAL AUTORIZADO ]]*0.3</f>
        <v>1627936.8</v>
      </c>
      <c r="K60" s="10">
        <f>+Tabla123[[#This Row],[PRESUPUESTO ANUAL AUTORIZADO ]]*0.3</f>
        <v>1627936.8</v>
      </c>
      <c r="L60" s="10">
        <f>+Tabla123[[#This Row],[PRESUPUESTO ANUAL AUTORIZADO ]]*0.2</f>
        <v>1085291.2</v>
      </c>
      <c r="M60" s="11">
        <v>5426456</v>
      </c>
      <c r="N60" s="12" t="s">
        <v>17</v>
      </c>
      <c r="O60" s="83">
        <v>45657</v>
      </c>
      <c r="P60" s="8" t="s">
        <v>339</v>
      </c>
    </row>
    <row r="61" spans="1:16" ht="37.5" customHeight="1" x14ac:dyDescent="0.2">
      <c r="A61" s="3">
        <v>516</v>
      </c>
      <c r="B61" s="4" t="s">
        <v>338</v>
      </c>
      <c r="C61" s="5">
        <v>530</v>
      </c>
      <c r="D61" s="6" t="str">
        <f>IF(C61&lt;=0,"",VLOOKUP(C61,[11]FF!A:D,2,0))</f>
        <v>PARTICIPACIONES Ramo 28</v>
      </c>
      <c r="E61" s="5" t="s">
        <v>342</v>
      </c>
      <c r="F61" s="7" t="s">
        <v>22</v>
      </c>
      <c r="G61" s="8">
        <v>322001</v>
      </c>
      <c r="H61" s="9" t="str">
        <f>IF(G61&lt;=0,"",VLOOKUP(G61,[11]COG!A:H,2,0))</f>
        <v>Arrendamiento de edificios</v>
      </c>
      <c r="I61" s="10">
        <f>+Tabla123[[#This Row],[PRESUPUESTO ANUAL AUTORIZADO ]]*0.2</f>
        <v>56019.200000000004</v>
      </c>
      <c r="J61" s="10">
        <f>+Tabla123[[#This Row],[PRESUPUESTO ANUAL AUTORIZADO ]]*0.3</f>
        <v>84028.800000000003</v>
      </c>
      <c r="K61" s="10">
        <f>+Tabla123[[#This Row],[PRESUPUESTO ANUAL AUTORIZADO ]]*0.3</f>
        <v>84028.800000000003</v>
      </c>
      <c r="L61" s="10">
        <f>+Tabla123[[#This Row],[PRESUPUESTO ANUAL AUTORIZADO ]]*0.2</f>
        <v>56019.200000000004</v>
      </c>
      <c r="M61" s="11">
        <v>280096</v>
      </c>
      <c r="N61" s="12" t="s">
        <v>17</v>
      </c>
      <c r="O61" s="83">
        <v>45657</v>
      </c>
      <c r="P61" s="8" t="s">
        <v>339</v>
      </c>
    </row>
    <row r="62" spans="1:16" ht="37.5" customHeight="1" x14ac:dyDescent="0.2">
      <c r="A62" s="3">
        <v>517</v>
      </c>
      <c r="B62" s="4" t="s">
        <v>338</v>
      </c>
      <c r="C62" s="5">
        <v>530</v>
      </c>
      <c r="D62" s="6" t="str">
        <f>IF(C62&lt;=0,"",VLOOKUP(C62,[11]FF!A:D,2,0))</f>
        <v>PARTICIPACIONES Ramo 28</v>
      </c>
      <c r="E62" s="5" t="s">
        <v>348</v>
      </c>
      <c r="F62" s="7" t="s">
        <v>22</v>
      </c>
      <c r="G62" s="8">
        <v>322001</v>
      </c>
      <c r="H62" s="9" t="str">
        <f>IF(G62&lt;=0,"",VLOOKUP(G62,[11]COG!A:H,2,0))</f>
        <v>Arrendamiento de edificios</v>
      </c>
      <c r="I62" s="10">
        <f>+Tabla123[[#This Row],[PRESUPUESTO ANUAL AUTORIZADO ]]*0.2</f>
        <v>32232.800000000003</v>
      </c>
      <c r="J62" s="10">
        <f>+Tabla123[[#This Row],[PRESUPUESTO ANUAL AUTORIZADO ]]*0.3</f>
        <v>48349.2</v>
      </c>
      <c r="K62" s="10">
        <f>+Tabla123[[#This Row],[PRESUPUESTO ANUAL AUTORIZADO ]]*0.3</f>
        <v>48349.2</v>
      </c>
      <c r="L62" s="10">
        <f>+Tabla123[[#This Row],[PRESUPUESTO ANUAL AUTORIZADO ]]*0.2</f>
        <v>32232.800000000003</v>
      </c>
      <c r="M62" s="11">
        <v>161164</v>
      </c>
      <c r="N62" s="12" t="s">
        <v>17</v>
      </c>
      <c r="O62" s="83">
        <v>45657</v>
      </c>
      <c r="P62" s="8" t="s">
        <v>339</v>
      </c>
    </row>
    <row r="63" spans="1:16" ht="37.5" customHeight="1" x14ac:dyDescent="0.2">
      <c r="A63" s="3">
        <v>518</v>
      </c>
      <c r="B63" s="4" t="s">
        <v>338</v>
      </c>
      <c r="C63" s="5">
        <v>530</v>
      </c>
      <c r="D63" s="6" t="str">
        <f>IF(C63&lt;=0,"",VLOOKUP(C63,[11]FF!A:D,2,0))</f>
        <v>PARTICIPACIONES Ramo 28</v>
      </c>
      <c r="E63" s="5" t="s">
        <v>350</v>
      </c>
      <c r="F63" s="7" t="s">
        <v>22</v>
      </c>
      <c r="G63" s="8">
        <v>322001</v>
      </c>
      <c r="H63" s="9" t="str">
        <f>IF(G63&lt;=0,"",VLOOKUP(G63,[11]COG!A:H,2,0))</f>
        <v>Arrendamiento de edificios</v>
      </c>
      <c r="I63" s="10">
        <f>+Tabla123[[#This Row],[PRESUPUESTO ANUAL AUTORIZADO ]]*0.2</f>
        <v>390770.4</v>
      </c>
      <c r="J63" s="10">
        <f>+Tabla123[[#This Row],[PRESUPUESTO ANUAL AUTORIZADO ]]*0.3</f>
        <v>586155.6</v>
      </c>
      <c r="K63" s="10">
        <f>+Tabla123[[#This Row],[PRESUPUESTO ANUAL AUTORIZADO ]]*0.3</f>
        <v>586155.6</v>
      </c>
      <c r="L63" s="10">
        <f>+Tabla123[[#This Row],[PRESUPUESTO ANUAL AUTORIZADO ]]*0.2</f>
        <v>390770.4</v>
      </c>
      <c r="M63" s="11">
        <v>1953852</v>
      </c>
      <c r="N63" s="12" t="s">
        <v>17</v>
      </c>
      <c r="O63" s="83">
        <v>45657</v>
      </c>
      <c r="P63" s="8" t="s">
        <v>339</v>
      </c>
    </row>
    <row r="64" spans="1:16" ht="37.5" customHeight="1" x14ac:dyDescent="0.2">
      <c r="A64" s="3">
        <v>519</v>
      </c>
      <c r="B64" s="4" t="s">
        <v>338</v>
      </c>
      <c r="C64" s="5">
        <v>530</v>
      </c>
      <c r="D64" s="6" t="str">
        <f>IF(C64&lt;=0,"",VLOOKUP(C64,[11]FF!A:D,2,0))</f>
        <v>PARTICIPACIONES Ramo 28</v>
      </c>
      <c r="E64" s="5" t="s">
        <v>354</v>
      </c>
      <c r="F64" s="7" t="s">
        <v>22</v>
      </c>
      <c r="G64" s="8">
        <v>322001</v>
      </c>
      <c r="H64" s="9" t="str">
        <f>IF(G64&lt;=0,"",VLOOKUP(G64,[11]COG!A:H,2,0))</f>
        <v>Arrendamiento de edificios</v>
      </c>
      <c r="I64" s="10">
        <f>+Tabla123[[#This Row],[PRESUPUESTO ANUAL AUTORIZADO ]]*0.2</f>
        <v>209244</v>
      </c>
      <c r="J64" s="10">
        <f>+Tabla123[[#This Row],[PRESUPUESTO ANUAL AUTORIZADO ]]*0.3</f>
        <v>313866</v>
      </c>
      <c r="K64" s="10">
        <f>+Tabla123[[#This Row],[PRESUPUESTO ANUAL AUTORIZADO ]]*0.3</f>
        <v>313866</v>
      </c>
      <c r="L64" s="10">
        <f>+Tabla123[[#This Row],[PRESUPUESTO ANUAL AUTORIZADO ]]*0.2</f>
        <v>209244</v>
      </c>
      <c r="M64" s="11">
        <v>1046220</v>
      </c>
      <c r="N64" s="12" t="s">
        <v>17</v>
      </c>
      <c r="O64" s="83">
        <v>45657</v>
      </c>
      <c r="P64" s="8" t="s">
        <v>339</v>
      </c>
    </row>
    <row r="65" spans="1:16" ht="37.5" customHeight="1" x14ac:dyDescent="0.2">
      <c r="A65" s="3">
        <v>516</v>
      </c>
      <c r="B65" s="4" t="s">
        <v>338</v>
      </c>
      <c r="C65" s="5">
        <v>530</v>
      </c>
      <c r="D65" s="6" t="str">
        <f>IF(C65&lt;=0,"",VLOOKUP(C65,[11]FF!A:D,2,0))</f>
        <v>PARTICIPACIONES Ramo 28</v>
      </c>
      <c r="E65" s="5" t="s">
        <v>342</v>
      </c>
      <c r="F65" s="7" t="s">
        <v>15</v>
      </c>
      <c r="G65" s="8">
        <v>261001</v>
      </c>
      <c r="H65" s="9" t="str">
        <f>IF(G65&lt;=0,"",VLOOKUP(G65,[11]COG!A:H,2,0))</f>
        <v>Combustibles</v>
      </c>
      <c r="I65" s="10">
        <f>+Tabla123[[#This Row],[PRESUPUESTO ANUAL AUTORIZADO ]]*0.2</f>
        <v>21859.520000000004</v>
      </c>
      <c r="J65" s="10">
        <f>+Tabla123[[#This Row],[PRESUPUESTO ANUAL AUTORIZADO ]]*0.3</f>
        <v>32789.279999999999</v>
      </c>
      <c r="K65" s="10">
        <f>+Tabla123[[#This Row],[PRESUPUESTO ANUAL AUTORIZADO ]]*0.3</f>
        <v>32789.279999999999</v>
      </c>
      <c r="L65" s="10">
        <f>+Tabla123[[#This Row],[PRESUPUESTO ANUAL AUTORIZADO ]]*0.2</f>
        <v>21859.520000000004</v>
      </c>
      <c r="M65" s="11">
        <v>109297.60000000001</v>
      </c>
      <c r="N65" s="12" t="s">
        <v>17</v>
      </c>
      <c r="O65" s="83">
        <v>45657</v>
      </c>
      <c r="P65" s="8" t="s">
        <v>296</v>
      </c>
    </row>
    <row r="66" spans="1:16" ht="37.5" customHeight="1" x14ac:dyDescent="0.2">
      <c r="A66" s="3">
        <v>516</v>
      </c>
      <c r="B66" s="4" t="s">
        <v>338</v>
      </c>
      <c r="C66" s="5">
        <v>530</v>
      </c>
      <c r="D66" s="6" t="str">
        <f>IF(C66&lt;=0,"",VLOOKUP(C66,[11]FF!A:D,2,0))</f>
        <v>PARTICIPACIONES Ramo 28</v>
      </c>
      <c r="E66" s="5" t="s">
        <v>342</v>
      </c>
      <c r="F66" s="7" t="s">
        <v>22</v>
      </c>
      <c r="G66" s="8">
        <v>352001</v>
      </c>
      <c r="H66" s="9" t="str">
        <f>IF(G66&lt;=0,"",VLOOKUP(G66,[11]COG!A:H,2,0))</f>
        <v>Mantenimiento de mobiliario y equipo</v>
      </c>
      <c r="I66" s="10">
        <f>+Tabla123[[#This Row],[PRESUPUESTO ANUAL AUTORIZADO ]]*0.2</f>
        <v>248846.40000000002</v>
      </c>
      <c r="J66" s="10">
        <f>+Tabla123[[#This Row],[PRESUPUESTO ANUAL AUTORIZADO ]]*0.3</f>
        <v>373269.6</v>
      </c>
      <c r="K66" s="10">
        <f>+Tabla123[[#This Row],[PRESUPUESTO ANUAL AUTORIZADO ]]*0.3</f>
        <v>373269.6</v>
      </c>
      <c r="L66" s="10">
        <f>+Tabla123[[#This Row],[PRESUPUESTO ANUAL AUTORIZADO ]]*0.2</f>
        <v>248846.40000000002</v>
      </c>
      <c r="M66" s="11">
        <v>1244232</v>
      </c>
      <c r="N66" s="12" t="s">
        <v>20</v>
      </c>
      <c r="O66" s="83">
        <v>45717</v>
      </c>
      <c r="P66" s="8" t="s">
        <v>339</v>
      </c>
    </row>
    <row r="67" spans="1:16" ht="37.5" customHeight="1" x14ac:dyDescent="0.2">
      <c r="A67" s="3">
        <v>516</v>
      </c>
      <c r="B67" s="4" t="s">
        <v>338</v>
      </c>
      <c r="C67" s="5">
        <v>530</v>
      </c>
      <c r="D67" s="6" t="str">
        <f>IF(C67&lt;=0,"",VLOOKUP(C67,[11]FF!A:D,2,0))</f>
        <v>PARTICIPACIONES Ramo 28</v>
      </c>
      <c r="E67" s="5" t="s">
        <v>343</v>
      </c>
      <c r="F67" s="7" t="s">
        <v>15</v>
      </c>
      <c r="G67" s="8">
        <v>261001</v>
      </c>
      <c r="H67" s="9" t="str">
        <f>IF(G67&lt;=0,"",VLOOKUP(G67,[11]COG!A:H,2,0))</f>
        <v>Combustibles</v>
      </c>
      <c r="I67" s="10">
        <f>+Tabla123[[#This Row],[PRESUPUESTO ANUAL AUTORIZADO ]]*0.2</f>
        <v>48267.840000000004</v>
      </c>
      <c r="J67" s="10">
        <f>+Tabla123[[#This Row],[PRESUPUESTO ANUAL AUTORIZADO ]]*0.3</f>
        <v>72401.759999999995</v>
      </c>
      <c r="K67" s="10">
        <f>+Tabla123[[#This Row],[PRESUPUESTO ANUAL AUTORIZADO ]]*0.3</f>
        <v>72401.759999999995</v>
      </c>
      <c r="L67" s="10">
        <f>+Tabla123[[#This Row],[PRESUPUESTO ANUAL AUTORIZADO ]]*0.2</f>
        <v>48267.840000000004</v>
      </c>
      <c r="M67" s="11">
        <v>241339.2</v>
      </c>
      <c r="N67" s="12" t="s">
        <v>17</v>
      </c>
      <c r="O67" s="83">
        <v>45657</v>
      </c>
      <c r="P67" s="8" t="s">
        <v>296</v>
      </c>
    </row>
    <row r="68" spans="1:16" ht="37.5" customHeight="1" x14ac:dyDescent="0.2">
      <c r="A68" s="3">
        <v>517</v>
      </c>
      <c r="B68" s="4" t="s">
        <v>338</v>
      </c>
      <c r="C68" s="5">
        <v>530</v>
      </c>
      <c r="D68" s="6" t="str">
        <f>IF(C68&lt;=0,"",VLOOKUP(C68,[11]FF!A:D,2,0))</f>
        <v>PARTICIPACIONES Ramo 28</v>
      </c>
      <c r="E68" s="5" t="s">
        <v>348</v>
      </c>
      <c r="F68" s="7" t="s">
        <v>15</v>
      </c>
      <c r="G68" s="8">
        <v>261001</v>
      </c>
      <c r="H68" s="9" t="str">
        <f>IF(G68&lt;=0,"",VLOOKUP(G68,[11]COG!A:H,2,0))</f>
        <v>Combustibles</v>
      </c>
      <c r="I68" s="10">
        <f>+Tabla123[[#This Row],[PRESUPUESTO ANUAL AUTORIZADO ]]*0.2</f>
        <v>6279.3600000000006</v>
      </c>
      <c r="J68" s="10">
        <f>+Tabla123[[#This Row],[PRESUPUESTO ANUAL AUTORIZADO ]]*0.3</f>
        <v>9419.0399999999991</v>
      </c>
      <c r="K68" s="10">
        <f>+Tabla123[[#This Row],[PRESUPUESTO ANUAL AUTORIZADO ]]*0.3</f>
        <v>9419.0399999999991</v>
      </c>
      <c r="L68" s="10">
        <f>+Tabla123[[#This Row],[PRESUPUESTO ANUAL AUTORIZADO ]]*0.2</f>
        <v>6279.3600000000006</v>
      </c>
      <c r="M68" s="11">
        <v>31396.799999999999</v>
      </c>
      <c r="N68" s="12" t="s">
        <v>17</v>
      </c>
      <c r="O68" s="83">
        <v>45657</v>
      </c>
      <c r="P68" s="8" t="s">
        <v>296</v>
      </c>
    </row>
    <row r="69" spans="1:16" ht="37.5" customHeight="1" x14ac:dyDescent="0.2">
      <c r="A69" s="3">
        <v>518</v>
      </c>
      <c r="B69" s="4" t="s">
        <v>338</v>
      </c>
      <c r="C69" s="5">
        <v>530</v>
      </c>
      <c r="D69" s="6" t="str">
        <f>IF(C69&lt;=0,"",VLOOKUP(C69,[11]FF!A:D,2,0))</f>
        <v>PARTICIPACIONES Ramo 28</v>
      </c>
      <c r="E69" s="5" t="s">
        <v>350</v>
      </c>
      <c r="F69" s="7" t="s">
        <v>15</v>
      </c>
      <c r="G69" s="8">
        <v>261001</v>
      </c>
      <c r="H69" s="9" t="str">
        <f>IF(G69&lt;=0,"",VLOOKUP(G69,[11]COG!A:H,2,0))</f>
        <v>Combustibles</v>
      </c>
      <c r="I69" s="10">
        <f>+Tabla123[[#This Row],[PRESUPUESTO ANUAL AUTORIZADO ]]*0.2</f>
        <v>30178.640000000003</v>
      </c>
      <c r="J69" s="10">
        <f>+Tabla123[[#This Row],[PRESUPUESTO ANUAL AUTORIZADO ]]*0.3</f>
        <v>45267.96</v>
      </c>
      <c r="K69" s="10">
        <f>+Tabla123[[#This Row],[PRESUPUESTO ANUAL AUTORIZADO ]]*0.3</f>
        <v>45267.96</v>
      </c>
      <c r="L69" s="10">
        <f>+Tabla123[[#This Row],[PRESUPUESTO ANUAL AUTORIZADO ]]*0.2</f>
        <v>30178.640000000003</v>
      </c>
      <c r="M69" s="11">
        <v>150893.20000000001</v>
      </c>
      <c r="N69" s="12" t="s">
        <v>17</v>
      </c>
      <c r="O69" s="83">
        <v>45657</v>
      </c>
      <c r="P69" s="8" t="s">
        <v>296</v>
      </c>
    </row>
    <row r="70" spans="1:16" ht="37.5" customHeight="1" x14ac:dyDescent="0.2">
      <c r="A70" s="3">
        <v>518</v>
      </c>
      <c r="B70" s="4" t="s">
        <v>338</v>
      </c>
      <c r="C70" s="5">
        <v>530</v>
      </c>
      <c r="D70" s="6" t="str">
        <f>IF(C70&lt;=0,"",VLOOKUP(C70,[11]FF!A:D,2,0))</f>
        <v>PARTICIPACIONES Ramo 28</v>
      </c>
      <c r="E70" s="5" t="s">
        <v>351</v>
      </c>
      <c r="F70" s="7" t="s">
        <v>15</v>
      </c>
      <c r="G70" s="8">
        <v>261001</v>
      </c>
      <c r="H70" s="9" t="str">
        <f>IF(G70&lt;=0,"",VLOOKUP(G70,[11]COG!A:H,2,0))</f>
        <v>Combustibles</v>
      </c>
      <c r="I70" s="10">
        <f>+Tabla123[[#This Row],[PRESUPUESTO ANUAL AUTORIZADO ]]*0.2</f>
        <v>2545.2800000000002</v>
      </c>
      <c r="J70" s="10">
        <f>+Tabla123[[#This Row],[PRESUPUESTO ANUAL AUTORIZADO ]]*0.3</f>
        <v>3817.9199999999996</v>
      </c>
      <c r="K70" s="10">
        <f>+Tabla123[[#This Row],[PRESUPUESTO ANUAL AUTORIZADO ]]*0.3</f>
        <v>3817.9199999999996</v>
      </c>
      <c r="L70" s="10">
        <f>+Tabla123[[#This Row],[PRESUPUESTO ANUAL AUTORIZADO ]]*0.2</f>
        <v>2545.2800000000002</v>
      </c>
      <c r="M70" s="11">
        <v>12726.4</v>
      </c>
      <c r="N70" s="12" t="s">
        <v>17</v>
      </c>
      <c r="O70" s="83">
        <v>45657</v>
      </c>
      <c r="P70" s="8" t="s">
        <v>296</v>
      </c>
    </row>
    <row r="71" spans="1:16" ht="37.5" customHeight="1" x14ac:dyDescent="0.2">
      <c r="A71" s="3">
        <v>518</v>
      </c>
      <c r="B71" s="4" t="s">
        <v>338</v>
      </c>
      <c r="C71" s="5">
        <v>530</v>
      </c>
      <c r="D71" s="6" t="str">
        <f>IF(C71&lt;=0,"",VLOOKUP(C71,[11]FF!A:D,2,0))</f>
        <v>PARTICIPACIONES Ramo 28</v>
      </c>
      <c r="E71" s="5" t="s">
        <v>352</v>
      </c>
      <c r="F71" s="7" t="s">
        <v>15</v>
      </c>
      <c r="G71" s="8">
        <v>261001</v>
      </c>
      <c r="H71" s="9" t="str">
        <f>IF(G71&lt;=0,"",VLOOKUP(G71,[11]COG!A:H,2,0))</f>
        <v>Combustibles</v>
      </c>
      <c r="I71" s="10">
        <f>+Tabla123[[#This Row],[PRESUPUESTO ANUAL AUTORIZADO ]]*0.2</f>
        <v>4097.6000000000004</v>
      </c>
      <c r="J71" s="10">
        <f>+Tabla123[[#This Row],[PRESUPUESTO ANUAL AUTORIZADO ]]*0.3</f>
        <v>6146.4</v>
      </c>
      <c r="K71" s="10">
        <f>+Tabla123[[#This Row],[PRESUPUESTO ANUAL AUTORIZADO ]]*0.3</f>
        <v>6146.4</v>
      </c>
      <c r="L71" s="10">
        <f>+Tabla123[[#This Row],[PRESUPUESTO ANUAL AUTORIZADO ]]*0.2</f>
        <v>4097.6000000000004</v>
      </c>
      <c r="M71" s="11">
        <v>20488</v>
      </c>
      <c r="N71" s="12" t="s">
        <v>17</v>
      </c>
      <c r="O71" s="83">
        <v>45657</v>
      </c>
      <c r="P71" s="8" t="s">
        <v>296</v>
      </c>
    </row>
    <row r="72" spans="1:16" ht="37.5" customHeight="1" x14ac:dyDescent="0.2">
      <c r="A72" s="3">
        <v>518</v>
      </c>
      <c r="B72" s="4" t="s">
        <v>338</v>
      </c>
      <c r="C72" s="5">
        <v>530</v>
      </c>
      <c r="D72" s="6" t="str">
        <f>IF(C72&lt;=0,"",VLOOKUP(C72,[11]FF!A:D,2,0))</f>
        <v>PARTICIPACIONES Ramo 28</v>
      </c>
      <c r="E72" s="5" t="s">
        <v>353</v>
      </c>
      <c r="F72" s="7" t="s">
        <v>15</v>
      </c>
      <c r="G72" s="8">
        <v>261001</v>
      </c>
      <c r="H72" s="9" t="str">
        <f>IF(G72&lt;=0,"",VLOOKUP(G72,[11]COG!A:H,2,0))</f>
        <v>Combustibles</v>
      </c>
      <c r="I72" s="10">
        <f>+Tabla123[[#This Row],[PRESUPUESTO ANUAL AUTORIZADO ]]*0.2</f>
        <v>8428.8000000000011</v>
      </c>
      <c r="J72" s="10">
        <f>+Tabla123[[#This Row],[PRESUPUESTO ANUAL AUTORIZADO ]]*0.3</f>
        <v>12643.199999999999</v>
      </c>
      <c r="K72" s="10">
        <f>+Tabla123[[#This Row],[PRESUPUESTO ANUAL AUTORIZADO ]]*0.3</f>
        <v>12643.199999999999</v>
      </c>
      <c r="L72" s="10">
        <f>+Tabla123[[#This Row],[PRESUPUESTO ANUAL AUTORIZADO ]]*0.2</f>
        <v>8428.8000000000011</v>
      </c>
      <c r="M72" s="11">
        <v>42144</v>
      </c>
      <c r="N72" s="12" t="s">
        <v>17</v>
      </c>
      <c r="O72" s="83">
        <v>45657</v>
      </c>
      <c r="P72" s="8" t="s">
        <v>296</v>
      </c>
    </row>
    <row r="73" spans="1:16" ht="37.5" customHeight="1" x14ac:dyDescent="0.2">
      <c r="A73" s="3">
        <v>519</v>
      </c>
      <c r="B73" s="4" t="s">
        <v>338</v>
      </c>
      <c r="C73" s="5">
        <v>530</v>
      </c>
      <c r="D73" s="6" t="str">
        <f>IF(C73&lt;=0,"",VLOOKUP(C73,[11]FF!A:D,2,0))</f>
        <v>PARTICIPACIONES Ramo 28</v>
      </c>
      <c r="E73" s="5" t="s">
        <v>354</v>
      </c>
      <c r="F73" s="7" t="s">
        <v>15</v>
      </c>
      <c r="G73" s="8">
        <v>261001</v>
      </c>
      <c r="H73" s="9" t="str">
        <f>IF(G73&lt;=0,"",VLOOKUP(G73,[11]COG!A:H,2,0))</f>
        <v>Combustibles</v>
      </c>
      <c r="I73" s="10">
        <f>+Tabla123[[#This Row],[PRESUPUESTO ANUAL AUTORIZADO ]]*0.2</f>
        <v>12645.6</v>
      </c>
      <c r="J73" s="10">
        <f>+Tabla123[[#This Row],[PRESUPUESTO ANUAL AUTORIZADO ]]*0.3</f>
        <v>18968.399999999998</v>
      </c>
      <c r="K73" s="10">
        <f>+Tabla123[[#This Row],[PRESUPUESTO ANUAL AUTORIZADO ]]*0.3</f>
        <v>18968.399999999998</v>
      </c>
      <c r="L73" s="10">
        <f>+Tabla123[[#This Row],[PRESUPUESTO ANUAL AUTORIZADO ]]*0.2</f>
        <v>12645.6</v>
      </c>
      <c r="M73" s="11">
        <v>63228</v>
      </c>
      <c r="N73" s="12" t="s">
        <v>17</v>
      </c>
      <c r="O73" s="83">
        <v>45657</v>
      </c>
      <c r="P73" s="8" t="s">
        <v>296</v>
      </c>
    </row>
    <row r="74" spans="1:16" ht="37.5" customHeight="1" x14ac:dyDescent="0.2">
      <c r="A74" s="3">
        <v>520</v>
      </c>
      <c r="B74" s="4" t="s">
        <v>338</v>
      </c>
      <c r="C74" s="5">
        <v>530</v>
      </c>
      <c r="D74" s="6" t="str">
        <f>IF(C74&lt;=0,"",VLOOKUP(C74,[11]FF!A:D,2,0))</f>
        <v>PARTICIPACIONES Ramo 28</v>
      </c>
      <c r="E74" s="5" t="s">
        <v>355</v>
      </c>
      <c r="F74" s="7" t="s">
        <v>15</v>
      </c>
      <c r="G74" s="8">
        <v>261001</v>
      </c>
      <c r="H74" s="9" t="str">
        <f>IF(G74&lt;=0,"",VLOOKUP(G74,[11]COG!A:H,2,0))</f>
        <v>Combustibles</v>
      </c>
      <c r="I74" s="10">
        <f>+Tabla123[[#This Row],[PRESUPUESTO ANUAL AUTORIZADO ]]*0.2</f>
        <v>105376.8</v>
      </c>
      <c r="J74" s="10">
        <f>+Tabla123[[#This Row],[PRESUPUESTO ANUAL AUTORIZADO ]]*0.3</f>
        <v>158065.19999999998</v>
      </c>
      <c r="K74" s="10">
        <f>+Tabla123[[#This Row],[PRESUPUESTO ANUAL AUTORIZADO ]]*0.3</f>
        <v>158065.19999999998</v>
      </c>
      <c r="L74" s="10">
        <f>+Tabla123[[#This Row],[PRESUPUESTO ANUAL AUTORIZADO ]]*0.2</f>
        <v>105376.8</v>
      </c>
      <c r="M74" s="11">
        <v>526884</v>
      </c>
      <c r="N74" s="12" t="s">
        <v>17</v>
      </c>
      <c r="O74" s="83">
        <v>45657</v>
      </c>
      <c r="P74" s="8" t="s">
        <v>296</v>
      </c>
    </row>
    <row r="75" spans="1:16" ht="37.5" customHeight="1" x14ac:dyDescent="0.2">
      <c r="A75" s="3">
        <v>517</v>
      </c>
      <c r="B75" s="4" t="s">
        <v>338</v>
      </c>
      <c r="C75" s="5">
        <v>530</v>
      </c>
      <c r="D75" s="6" t="str">
        <f>IF(C75&lt;=0,"",VLOOKUP(C75,[11]FF!A:D,2,0))</f>
        <v>PARTICIPACIONES Ramo 28</v>
      </c>
      <c r="E75" s="5" t="s">
        <v>348</v>
      </c>
      <c r="F75" s="7" t="s">
        <v>22</v>
      </c>
      <c r="G75" s="8">
        <v>371001</v>
      </c>
      <c r="H75" s="9" t="str">
        <f>IF(G75&lt;=0,"",VLOOKUP(G75,[11]COG!A:H,2,0))</f>
        <v>Pasajes aéreos</v>
      </c>
      <c r="I75" s="10">
        <f>+Tabla123[[#This Row],[PRESUPUESTO ANUAL AUTORIZADO ]]*0.2</f>
        <v>662.2</v>
      </c>
      <c r="J75" s="10">
        <f>+Tabla123[[#This Row],[PRESUPUESTO ANUAL AUTORIZADO ]]*0.3</f>
        <v>993.3</v>
      </c>
      <c r="K75" s="10">
        <f>+Tabla123[[#This Row],[PRESUPUESTO ANUAL AUTORIZADO ]]*0.3</f>
        <v>993.3</v>
      </c>
      <c r="L75" s="10">
        <f>+Tabla123[[#This Row],[PRESUPUESTO ANUAL AUTORIZADO ]]*0.2</f>
        <v>662.2</v>
      </c>
      <c r="M75" s="11">
        <v>3311</v>
      </c>
      <c r="N75" s="12" t="s">
        <v>17</v>
      </c>
      <c r="O75" s="83">
        <v>45657</v>
      </c>
      <c r="P75" s="8" t="s">
        <v>296</v>
      </c>
    </row>
    <row r="76" spans="1:16" ht="37.5" customHeight="1" x14ac:dyDescent="0.2">
      <c r="A76" s="3">
        <v>520</v>
      </c>
      <c r="B76" s="4" t="s">
        <v>338</v>
      </c>
      <c r="C76" s="5">
        <v>530</v>
      </c>
      <c r="D76" s="6" t="str">
        <f>IF(C76&lt;=0,"",VLOOKUP(C76,[11]FF!A:D,2,0))</f>
        <v>PARTICIPACIONES Ramo 28</v>
      </c>
      <c r="E76" s="5" t="s">
        <v>355</v>
      </c>
      <c r="F76" s="7" t="s">
        <v>22</v>
      </c>
      <c r="G76" s="8">
        <v>371001</v>
      </c>
      <c r="H76" s="9" t="str">
        <f>IF(G76&lt;=0,"",VLOOKUP(G76,[11]COG!A:H,2,0))</f>
        <v>Pasajes aéreos</v>
      </c>
      <c r="I76" s="10">
        <f>+Tabla123[[#This Row],[PRESUPUESTO ANUAL AUTORIZADO ]]*0.2</f>
        <v>13853.400000000001</v>
      </c>
      <c r="J76" s="10">
        <f>+Tabla123[[#This Row],[PRESUPUESTO ANUAL AUTORIZADO ]]*0.3</f>
        <v>20780.099999999999</v>
      </c>
      <c r="K76" s="10">
        <f>+Tabla123[[#This Row],[PRESUPUESTO ANUAL AUTORIZADO ]]*0.3</f>
        <v>20780.099999999999</v>
      </c>
      <c r="L76" s="10">
        <f>+Tabla123[[#This Row],[PRESUPUESTO ANUAL AUTORIZADO ]]*0.2</f>
        <v>13853.400000000001</v>
      </c>
      <c r="M76" s="11">
        <v>69267</v>
      </c>
      <c r="N76" s="12" t="s">
        <v>17</v>
      </c>
      <c r="O76" s="83">
        <v>45657</v>
      </c>
      <c r="P76" s="8" t="s">
        <v>296</v>
      </c>
    </row>
    <row r="77" spans="1:16" ht="37.5" customHeight="1" x14ac:dyDescent="0.2">
      <c r="A77" s="3">
        <v>516</v>
      </c>
      <c r="B77" s="4" t="s">
        <v>338</v>
      </c>
      <c r="C77" s="5">
        <v>530</v>
      </c>
      <c r="D77" s="6" t="str">
        <f>IF(C77&lt;=0,"",VLOOKUP(C77,[11]FF!A:D,2,0))</f>
        <v>PARTICIPACIONES Ramo 28</v>
      </c>
      <c r="E77" s="5" t="s">
        <v>342</v>
      </c>
      <c r="F77" s="7" t="s">
        <v>22</v>
      </c>
      <c r="G77" s="8">
        <v>338001</v>
      </c>
      <c r="H77" s="9" t="str">
        <f>IF(G77&lt;=0,"",VLOOKUP(G77,[11]COG!A:H,2,0))</f>
        <v>Servicio de seguridad privada</v>
      </c>
      <c r="I77" s="10">
        <f>+Tabla123[[#This Row],[PRESUPUESTO ANUAL AUTORIZADO ]]*0.2</f>
        <v>1184568.4000000001</v>
      </c>
      <c r="J77" s="10">
        <f>+Tabla123[[#This Row],[PRESUPUESTO ANUAL AUTORIZADO ]]*0.3</f>
        <v>1776852.5999999999</v>
      </c>
      <c r="K77" s="10">
        <f>+Tabla123[[#This Row],[PRESUPUESTO ANUAL AUTORIZADO ]]*0.3</f>
        <v>1776852.5999999999</v>
      </c>
      <c r="L77" s="10">
        <f>+Tabla123[[#This Row],[PRESUPUESTO ANUAL AUTORIZADO ]]*0.2</f>
        <v>1184568.4000000001</v>
      </c>
      <c r="M77" s="11">
        <v>5922842</v>
      </c>
      <c r="N77" s="12" t="s">
        <v>17</v>
      </c>
      <c r="O77" s="83">
        <v>45657</v>
      </c>
      <c r="P77" s="8" t="s">
        <v>296</v>
      </c>
    </row>
    <row r="78" spans="1:16" ht="37.5" customHeight="1" x14ac:dyDescent="0.2">
      <c r="A78" s="3">
        <v>516</v>
      </c>
      <c r="B78" s="4" t="s">
        <v>338</v>
      </c>
      <c r="C78" s="5">
        <v>530</v>
      </c>
      <c r="D78" s="6" t="str">
        <f>IF(C78&lt;=0,"",VLOOKUP(C78,[11]FF!A:D,2,0))</f>
        <v>PARTICIPACIONES Ramo 28</v>
      </c>
      <c r="E78" s="5" t="s">
        <v>337</v>
      </c>
      <c r="F78" s="7" t="s">
        <v>22</v>
      </c>
      <c r="G78" s="8">
        <v>323001</v>
      </c>
      <c r="H78" s="9" t="str">
        <f>IF(G78&lt;=0,"",VLOOKUP(G78,[11]COG!A:H,2,0))</f>
        <v>Arrendamiento de maquinaria y equipo</v>
      </c>
      <c r="I78" s="10">
        <f>+Tabla123[[#This Row],[PRESUPUESTO ANUAL AUTORIZADO ]]*0.2</f>
        <v>81189.600000000006</v>
      </c>
      <c r="J78" s="10">
        <f>+Tabla123[[#This Row],[PRESUPUESTO ANUAL AUTORIZADO ]]*0.3</f>
        <v>121784.4</v>
      </c>
      <c r="K78" s="10">
        <f>+Tabla123[[#This Row],[PRESUPUESTO ANUAL AUTORIZADO ]]*0.3</f>
        <v>121784.4</v>
      </c>
      <c r="L78" s="10">
        <f>+Tabla123[[#This Row],[PRESUPUESTO ANUAL AUTORIZADO ]]*0.2</f>
        <v>81189.600000000006</v>
      </c>
      <c r="M78" s="11">
        <v>405948</v>
      </c>
      <c r="N78" s="12" t="s">
        <v>17</v>
      </c>
      <c r="O78" s="83">
        <v>45657</v>
      </c>
      <c r="P78" s="8" t="s">
        <v>296</v>
      </c>
    </row>
    <row r="79" spans="1:16" ht="37.5" customHeight="1" x14ac:dyDescent="0.2">
      <c r="A79" s="3">
        <v>517</v>
      </c>
      <c r="B79" s="4" t="s">
        <v>338</v>
      </c>
      <c r="C79" s="5">
        <v>530</v>
      </c>
      <c r="D79" s="6" t="str">
        <f>IF(C79&lt;=0,"",VLOOKUP(C79,[11]FF!A:D,2,0))</f>
        <v>PARTICIPACIONES Ramo 28</v>
      </c>
      <c r="E79" s="5" t="s">
        <v>348</v>
      </c>
      <c r="F79" s="7" t="s">
        <v>22</v>
      </c>
      <c r="G79" s="8">
        <v>323001</v>
      </c>
      <c r="H79" s="9" t="str">
        <f>IF(G79&lt;=0,"",VLOOKUP(G79,[11]COG!A:H,2,0))</f>
        <v>Arrendamiento de maquinaria y equipo</v>
      </c>
      <c r="I79" s="10">
        <f>+Tabla123[[#This Row],[PRESUPUESTO ANUAL AUTORIZADO ]]*0.2</f>
        <v>2856</v>
      </c>
      <c r="J79" s="10">
        <f>+Tabla123[[#This Row],[PRESUPUESTO ANUAL AUTORIZADO ]]*0.3</f>
        <v>4284</v>
      </c>
      <c r="K79" s="10">
        <f>+Tabla123[[#This Row],[PRESUPUESTO ANUAL AUTORIZADO ]]*0.3</f>
        <v>4284</v>
      </c>
      <c r="L79" s="10">
        <f>+Tabla123[[#This Row],[PRESUPUESTO ANUAL AUTORIZADO ]]*0.2</f>
        <v>2856</v>
      </c>
      <c r="M79" s="11">
        <v>14280</v>
      </c>
      <c r="N79" s="12" t="s">
        <v>17</v>
      </c>
      <c r="O79" s="83">
        <v>45657</v>
      </c>
      <c r="P79" s="8" t="s">
        <v>296</v>
      </c>
    </row>
    <row r="80" spans="1:16" ht="37.5" customHeight="1" thickBot="1" x14ac:dyDescent="0.25">
      <c r="A80" s="97"/>
      <c r="B80" s="98"/>
      <c r="C80" s="99"/>
      <c r="D80" s="100"/>
      <c r="E80" s="99"/>
      <c r="F80" s="99"/>
      <c r="G80" s="101"/>
      <c r="H80" s="102" t="s">
        <v>32</v>
      </c>
      <c r="I80" s="103"/>
      <c r="J80" s="103"/>
      <c r="K80" s="104"/>
      <c r="L80" s="103"/>
      <c r="M80" s="105">
        <f>SUBTOTAL(109,Tabla123[[PRESUPUESTO ANUAL AUTORIZADO ]])</f>
        <v>98564738</v>
      </c>
      <c r="N80" s="103"/>
      <c r="O80" s="103"/>
      <c r="P80" s="101"/>
    </row>
    <row r="81" spans="4:14" ht="37.5" customHeight="1" thickTop="1" x14ac:dyDescent="0.2">
      <c r="I81" s="48"/>
      <c r="M81" s="84">
        <f>201809083-Tabla123[[#Totals],[PRESUPUESTO ANUAL AUTORIZADO ]]</f>
        <v>103244345</v>
      </c>
    </row>
    <row r="82" spans="4:14" ht="37.5" customHeight="1" x14ac:dyDescent="0.25">
      <c r="D82"/>
      <c r="E82"/>
      <c r="F82"/>
      <c r="G82"/>
      <c r="H82"/>
      <c r="I82"/>
      <c r="J82"/>
      <c r="K82"/>
      <c r="L82"/>
      <c r="M82"/>
      <c r="N82"/>
    </row>
    <row r="83" spans="4:14" ht="37.5" customHeight="1" x14ac:dyDescent="0.25">
      <c r="D83"/>
      <c r="E83"/>
      <c r="F83"/>
      <c r="G83"/>
      <c r="H83"/>
      <c r="I83"/>
      <c r="J83"/>
      <c r="K83"/>
      <c r="L83"/>
      <c r="M83"/>
      <c r="N83"/>
    </row>
    <row r="84" spans="4:14" ht="37.5" customHeight="1" x14ac:dyDescent="0.25">
      <c r="D84"/>
      <c r="E84"/>
      <c r="F84"/>
      <c r="G84"/>
      <c r="H84"/>
      <c r="I84"/>
      <c r="J84"/>
      <c r="K84"/>
      <c r="L84"/>
      <c r="M84"/>
      <c r="N84"/>
    </row>
  </sheetData>
  <protectedRanges>
    <protectedRange algorithmName="SHA-512" hashValue="CVDb5J/0TlFD03lqit9XaA7LbCMGvWLCsduA3v8dImZEGhWfzgZ6Dg6bkjbAbJm1bYAcMLcpovU/dJmuMze5jw==" saltValue="QZ4X9aU2cO4/tAPW6011Dw==" spinCount="100000" sqref="N5:P80" name="EDITABLE 4"/>
    <protectedRange algorithmName="SHA-512" hashValue="ytsoXFfC1+WmXVaa1/e6XfcZ7vPjNmSnuZe33NqN4NcqbRxNJdzSGuklMRpskJNPYNNz1yZQe585JE4aSLisOg==" saltValue="/jSLFmNX0mB2vn2qhSJbtw==" spinCount="100000" sqref="I5:L80" name="EDITABLE 3"/>
    <protectedRange algorithmName="SHA-512" hashValue="pJNw8ysPJcfMEDlzTgza0siiHuU4FkUpIzbuTX325DFaYD5nL5ng0z0JoIGpE+CYch2hq/LccMqSM51MpHojPQ==" saltValue="xv9nj4u85CXs/Kmy5tmlKw==" spinCount="100000" sqref="E5:G80" name="EDITABLE 2"/>
    <protectedRange algorithmName="SHA-512" hashValue="Lst7hsT/mUUQvFsOUalIdMZhSjExDj/C7u4r1gIjHREwBj16N7lqODQ0CY6n+RXalo774Zm4aYZKVBS0n4XIeg==" saltValue="KfnRR/cqfK967zBK52Zr6A==" spinCount="100000" sqref="A5:C80" name="EDITABLE 1"/>
  </protectedRanges>
  <mergeCells count="3">
    <mergeCell ref="A1:P1"/>
    <mergeCell ref="A2:P2"/>
    <mergeCell ref="A3:P3"/>
  </mergeCells>
  <dataValidations count="2">
    <dataValidation type="list" allowBlank="1" showInputMessage="1" showErrorMessage="1" sqref="G5:G79" xr:uid="{5DD22E03-AAD2-4582-9484-B3DFA96E1B60}">
      <formula1>INDIRECT(F5)</formula1>
    </dataValidation>
    <dataValidation type="list" allowBlank="1" showInputMessage="1" showErrorMessage="1" sqref="F5:F79" xr:uid="{4A5E2E3D-AC0E-4B91-AB28-1008FC512490}">
      <formula1>CAPITULOS</formula1>
    </dataValidation>
  </dataValidations>
  <pageMargins left="0.23622047244094491" right="0.23622047244094491" top="0.74803149606299213" bottom="0.74803149606299213" header="0.31496062992125984" footer="0.31496062992125984"/>
  <pageSetup paperSize="5" scale="69" fitToHeight="0" orientation="landscape" r:id="rId1"/>
  <drawing r:id="rId2"/>
  <tableParts count="1">
    <tablePart r:id="rId3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C522C7-0FF6-4A9F-9859-E9FCA389290C}">
  <sheetPr>
    <tabColor rgb="FF00B050"/>
    <pageSetUpPr fitToPage="1"/>
  </sheetPr>
  <dimension ref="A1:P84"/>
  <sheetViews>
    <sheetView zoomScale="120" zoomScaleNormal="120" workbookViewId="0">
      <pane ySplit="4" topLeftCell="A77" activePane="bottomLeft" state="frozen"/>
      <selection activeCell="L24" sqref="L24"/>
      <selection pane="bottomLeft" activeCell="L24" sqref="L24"/>
    </sheetView>
  </sheetViews>
  <sheetFormatPr baseColWidth="10" defaultColWidth="11.42578125" defaultRowHeight="37.5" customHeight="1" x14ac:dyDescent="0.2"/>
  <cols>
    <col min="1" max="1" width="10.28515625" style="1" customWidth="1"/>
    <col min="2" max="2" width="17.5703125" style="1" customWidth="1"/>
    <col min="3" max="3" width="18.140625" style="1" customWidth="1"/>
    <col min="4" max="4" width="17.42578125" style="1" customWidth="1"/>
    <col min="5" max="5" width="14.7109375" style="1" customWidth="1"/>
    <col min="6" max="6" width="11.140625" style="1" customWidth="1"/>
    <col min="7" max="7" width="13" style="1" customWidth="1"/>
    <col min="8" max="8" width="32.140625" style="1" customWidth="1"/>
    <col min="9" max="9" width="12.7109375" style="1" customWidth="1"/>
    <col min="10" max="10" width="12.42578125" style="1" customWidth="1"/>
    <col min="11" max="11" width="12.28515625" style="1" customWidth="1"/>
    <col min="12" max="12" width="11.140625" style="1" customWidth="1"/>
    <col min="13" max="13" width="19" style="1" customWidth="1"/>
    <col min="14" max="15" width="21.7109375" style="1" customWidth="1"/>
    <col min="16" max="16" width="18.5703125" style="1" customWidth="1"/>
    <col min="17" max="16384" width="11.42578125" style="1"/>
  </cols>
  <sheetData>
    <row r="1" spans="1:16" ht="22.5" customHeight="1" x14ac:dyDescent="0.2">
      <c r="A1" s="115" t="s">
        <v>24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</row>
    <row r="2" spans="1:16" ht="18.75" customHeight="1" x14ac:dyDescent="0.2">
      <c r="A2" s="116" t="s">
        <v>260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</row>
    <row r="3" spans="1:16" ht="32.25" customHeight="1" x14ac:dyDescent="0.2">
      <c r="A3" s="117" t="s">
        <v>25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</row>
    <row r="4" spans="1:16" s="2" customFormat="1" ht="48" customHeight="1" x14ac:dyDescent="0.2">
      <c r="A4" s="72" t="s">
        <v>0</v>
      </c>
      <c r="B4" s="72" t="s">
        <v>1</v>
      </c>
      <c r="C4" s="72" t="s">
        <v>2</v>
      </c>
      <c r="D4" s="72" t="s">
        <v>3</v>
      </c>
      <c r="E4" s="72" t="s">
        <v>4</v>
      </c>
      <c r="F4" s="72" t="s">
        <v>5</v>
      </c>
      <c r="G4" s="72" t="s">
        <v>6</v>
      </c>
      <c r="H4" s="72" t="s">
        <v>7</v>
      </c>
      <c r="I4" s="72" t="s">
        <v>26</v>
      </c>
      <c r="J4" s="72" t="s">
        <v>8</v>
      </c>
      <c r="K4" s="72" t="s">
        <v>9</v>
      </c>
      <c r="L4" s="72" t="s">
        <v>10</v>
      </c>
      <c r="M4" s="72" t="s">
        <v>27</v>
      </c>
      <c r="N4" s="72" t="s">
        <v>11</v>
      </c>
      <c r="O4" s="72" t="s">
        <v>12</v>
      </c>
      <c r="P4" s="72" t="s">
        <v>13</v>
      </c>
    </row>
    <row r="5" spans="1:16" ht="37.5" customHeight="1" x14ac:dyDescent="0.2">
      <c r="A5" s="3">
        <v>401</v>
      </c>
      <c r="B5" s="4" t="s">
        <v>261</v>
      </c>
      <c r="C5" s="5">
        <v>530</v>
      </c>
      <c r="D5" s="6" t="s">
        <v>14</v>
      </c>
      <c r="E5" s="5" t="s">
        <v>262</v>
      </c>
      <c r="F5" s="7" t="s">
        <v>15</v>
      </c>
      <c r="G5" s="8">
        <v>211001</v>
      </c>
      <c r="H5" s="9" t="s">
        <v>16</v>
      </c>
      <c r="I5" s="10">
        <v>25000</v>
      </c>
      <c r="J5" s="10">
        <v>25000</v>
      </c>
      <c r="K5" s="10">
        <v>25000</v>
      </c>
      <c r="L5" s="10">
        <v>25000</v>
      </c>
      <c r="M5" s="11">
        <f>SUM(Tabla117[[#This Row],[TRIMESTRE  I]:[TRIMESTRE IV]])</f>
        <v>100000</v>
      </c>
      <c r="N5" s="12" t="s">
        <v>17</v>
      </c>
      <c r="O5" s="13">
        <v>45658</v>
      </c>
      <c r="P5" s="8" t="s">
        <v>61</v>
      </c>
    </row>
    <row r="6" spans="1:16" ht="37.5" customHeight="1" x14ac:dyDescent="0.2">
      <c r="A6" s="3">
        <v>401</v>
      </c>
      <c r="B6" s="4" t="s">
        <v>261</v>
      </c>
      <c r="C6" s="5">
        <v>530</v>
      </c>
      <c r="D6" s="6" t="s">
        <v>14</v>
      </c>
      <c r="E6" s="5" t="s">
        <v>263</v>
      </c>
      <c r="F6" s="7" t="s">
        <v>15</v>
      </c>
      <c r="G6" s="8">
        <v>211001</v>
      </c>
      <c r="H6" s="9" t="s">
        <v>16</v>
      </c>
      <c r="I6" s="10">
        <v>15715</v>
      </c>
      <c r="J6" s="10">
        <v>15715</v>
      </c>
      <c r="K6" s="10">
        <v>15715</v>
      </c>
      <c r="L6" s="10">
        <v>15715</v>
      </c>
      <c r="M6" s="11">
        <f>SUM(Tabla117[[#This Row],[TRIMESTRE  I]:[TRIMESTRE IV]])</f>
        <v>62860</v>
      </c>
      <c r="N6" s="12" t="s">
        <v>17</v>
      </c>
      <c r="O6" s="13">
        <v>45659</v>
      </c>
      <c r="P6" s="8" t="s">
        <v>61</v>
      </c>
    </row>
    <row r="7" spans="1:16" ht="37.5" customHeight="1" x14ac:dyDescent="0.2">
      <c r="A7" s="3">
        <v>402</v>
      </c>
      <c r="B7" s="4" t="s">
        <v>261</v>
      </c>
      <c r="C7" s="5">
        <v>530</v>
      </c>
      <c r="D7" s="6" t="s">
        <v>14</v>
      </c>
      <c r="E7" s="5" t="s">
        <v>264</v>
      </c>
      <c r="F7" s="7" t="s">
        <v>15</v>
      </c>
      <c r="G7" s="8">
        <v>211001</v>
      </c>
      <c r="H7" s="9" t="s">
        <v>16</v>
      </c>
      <c r="I7" s="10">
        <v>3348.75</v>
      </c>
      <c r="J7" s="10">
        <v>3348.75</v>
      </c>
      <c r="K7" s="10">
        <v>3348.75</v>
      </c>
      <c r="L7" s="10">
        <v>3348.75</v>
      </c>
      <c r="M7" s="11">
        <f>SUM(Tabla117[[#This Row],[TRIMESTRE  I]:[TRIMESTRE IV]])</f>
        <v>13395</v>
      </c>
      <c r="N7" s="12" t="s">
        <v>17</v>
      </c>
      <c r="O7" s="13">
        <v>45660</v>
      </c>
      <c r="P7" s="8" t="s">
        <v>61</v>
      </c>
    </row>
    <row r="8" spans="1:16" ht="37.5" customHeight="1" x14ac:dyDescent="0.2">
      <c r="A8" s="3">
        <v>402</v>
      </c>
      <c r="B8" s="4" t="s">
        <v>261</v>
      </c>
      <c r="C8" s="5">
        <v>530</v>
      </c>
      <c r="D8" s="6" t="s">
        <v>14</v>
      </c>
      <c r="E8" s="5" t="s">
        <v>265</v>
      </c>
      <c r="F8" s="7" t="s">
        <v>15</v>
      </c>
      <c r="G8" s="8">
        <v>211001</v>
      </c>
      <c r="H8" s="9" t="s">
        <v>16</v>
      </c>
      <c r="I8" s="10">
        <v>3295</v>
      </c>
      <c r="J8" s="10">
        <v>3297</v>
      </c>
      <c r="K8" s="10">
        <v>3299</v>
      </c>
      <c r="L8" s="10">
        <v>3296</v>
      </c>
      <c r="M8" s="11">
        <f>SUM(Tabla117[[#This Row],[TRIMESTRE  I]:[TRIMESTRE IV]])</f>
        <v>13187</v>
      </c>
      <c r="N8" s="12" t="s">
        <v>17</v>
      </c>
      <c r="O8" s="13">
        <v>45661</v>
      </c>
      <c r="P8" s="8" t="s">
        <v>61</v>
      </c>
    </row>
    <row r="9" spans="1:16" ht="37.5" customHeight="1" x14ac:dyDescent="0.2">
      <c r="A9" s="3">
        <v>402</v>
      </c>
      <c r="B9" s="4" t="s">
        <v>261</v>
      </c>
      <c r="C9" s="5">
        <v>530</v>
      </c>
      <c r="D9" s="6" t="s">
        <v>14</v>
      </c>
      <c r="E9" s="5" t="s">
        <v>266</v>
      </c>
      <c r="F9" s="7" t="s">
        <v>15</v>
      </c>
      <c r="G9" s="8">
        <v>211001</v>
      </c>
      <c r="H9" s="9" t="s">
        <v>16</v>
      </c>
      <c r="I9" s="10">
        <v>5165</v>
      </c>
      <c r="J9" s="10">
        <v>5165</v>
      </c>
      <c r="K9" s="10">
        <v>5165</v>
      </c>
      <c r="L9" s="10">
        <v>5165</v>
      </c>
      <c r="M9" s="11">
        <f>SUM(Tabla117[[#This Row],[TRIMESTRE  I]:[TRIMESTRE IV]])</f>
        <v>20660</v>
      </c>
      <c r="N9" s="12" t="s">
        <v>17</v>
      </c>
      <c r="O9" s="13">
        <v>45662</v>
      </c>
      <c r="P9" s="8" t="s">
        <v>61</v>
      </c>
    </row>
    <row r="10" spans="1:16" ht="37.5" customHeight="1" x14ac:dyDescent="0.2">
      <c r="A10" s="3">
        <v>419</v>
      </c>
      <c r="B10" s="4" t="s">
        <v>267</v>
      </c>
      <c r="C10" s="5">
        <v>530</v>
      </c>
      <c r="D10" s="6" t="s">
        <v>14</v>
      </c>
      <c r="E10" s="5" t="s">
        <v>268</v>
      </c>
      <c r="F10" s="7" t="s">
        <v>15</v>
      </c>
      <c r="G10" s="8">
        <v>211001</v>
      </c>
      <c r="H10" s="9" t="s">
        <v>16</v>
      </c>
      <c r="I10" s="10">
        <v>7225</v>
      </c>
      <c r="J10" s="10">
        <v>7225</v>
      </c>
      <c r="K10" s="10">
        <v>7225</v>
      </c>
      <c r="L10" s="10">
        <v>7225</v>
      </c>
      <c r="M10" s="11">
        <f>SUM(Tabla117[[#This Row],[TRIMESTRE  I]:[TRIMESTRE IV]])</f>
        <v>28900</v>
      </c>
      <c r="N10" s="12" t="s">
        <v>17</v>
      </c>
      <c r="O10" s="13">
        <v>45663</v>
      </c>
      <c r="P10" s="8" t="s">
        <v>61</v>
      </c>
    </row>
    <row r="11" spans="1:16" ht="37.5" customHeight="1" x14ac:dyDescent="0.2">
      <c r="A11" s="3">
        <v>434</v>
      </c>
      <c r="B11" s="4" t="s">
        <v>269</v>
      </c>
      <c r="C11" s="5">
        <v>530</v>
      </c>
      <c r="D11" s="6" t="s">
        <v>14</v>
      </c>
      <c r="E11" s="5" t="s">
        <v>270</v>
      </c>
      <c r="F11" s="7" t="s">
        <v>15</v>
      </c>
      <c r="G11" s="8">
        <v>211001</v>
      </c>
      <c r="H11" s="9" t="s">
        <v>16</v>
      </c>
      <c r="I11" s="10">
        <v>4895</v>
      </c>
      <c r="J11" s="10">
        <v>4895</v>
      </c>
      <c r="K11" s="10">
        <v>4895</v>
      </c>
      <c r="L11" s="10">
        <v>4895</v>
      </c>
      <c r="M11" s="11">
        <f>SUM(Tabla117[[#This Row],[TRIMESTRE  I]:[TRIMESTRE IV]])</f>
        <v>19580</v>
      </c>
      <c r="N11" s="12" t="s">
        <v>17</v>
      </c>
      <c r="O11" s="13">
        <v>45664</v>
      </c>
      <c r="P11" s="8" t="s">
        <v>61</v>
      </c>
    </row>
    <row r="12" spans="1:16" ht="37.5" customHeight="1" x14ac:dyDescent="0.2">
      <c r="A12" s="3">
        <v>435</v>
      </c>
      <c r="B12" s="4" t="s">
        <v>261</v>
      </c>
      <c r="C12" s="5">
        <v>530</v>
      </c>
      <c r="D12" s="6" t="s">
        <v>14</v>
      </c>
      <c r="E12" s="5" t="s">
        <v>271</v>
      </c>
      <c r="F12" s="7" t="s">
        <v>15</v>
      </c>
      <c r="G12" s="8">
        <v>211001</v>
      </c>
      <c r="H12" s="9" t="s">
        <v>16</v>
      </c>
      <c r="I12" s="10">
        <v>7801</v>
      </c>
      <c r="J12" s="10">
        <v>7828</v>
      </c>
      <c r="K12" s="10">
        <v>7805</v>
      </c>
      <c r="L12" s="10">
        <v>7800</v>
      </c>
      <c r="M12" s="11">
        <f>SUM(Tabla117[[#This Row],[TRIMESTRE  I]:[TRIMESTRE IV]])</f>
        <v>31234</v>
      </c>
      <c r="N12" s="12" t="s">
        <v>17</v>
      </c>
      <c r="O12" s="13">
        <v>45665</v>
      </c>
      <c r="P12" s="8" t="s">
        <v>61</v>
      </c>
    </row>
    <row r="13" spans="1:16" ht="37.5" customHeight="1" x14ac:dyDescent="0.2">
      <c r="A13" s="3">
        <v>401</v>
      </c>
      <c r="B13" s="4" t="s">
        <v>261</v>
      </c>
      <c r="C13" s="5">
        <v>530</v>
      </c>
      <c r="D13" s="6" t="s">
        <v>14</v>
      </c>
      <c r="E13" s="5" t="s">
        <v>272</v>
      </c>
      <c r="F13" s="7" t="s">
        <v>15</v>
      </c>
      <c r="G13" s="8">
        <v>212001</v>
      </c>
      <c r="H13" s="9" t="s">
        <v>50</v>
      </c>
      <c r="I13" s="10">
        <v>0</v>
      </c>
      <c r="J13" s="10">
        <v>68000</v>
      </c>
      <c r="K13" s="10">
        <v>0</v>
      </c>
      <c r="L13" s="10">
        <v>0</v>
      </c>
      <c r="M13" s="11">
        <f>SUM(Tabla117[[#This Row],[TRIMESTRE  I]:[TRIMESTRE IV]])</f>
        <v>68000</v>
      </c>
      <c r="N13" s="12" t="s">
        <v>19</v>
      </c>
      <c r="O13" s="13">
        <v>45689</v>
      </c>
      <c r="P13" s="8" t="s">
        <v>256</v>
      </c>
    </row>
    <row r="14" spans="1:16" ht="37.5" customHeight="1" x14ac:dyDescent="0.2">
      <c r="A14" s="3">
        <v>401</v>
      </c>
      <c r="B14" s="4" t="s">
        <v>261</v>
      </c>
      <c r="C14" s="5">
        <v>530</v>
      </c>
      <c r="D14" s="6" t="s">
        <v>14</v>
      </c>
      <c r="E14" s="5" t="s">
        <v>263</v>
      </c>
      <c r="F14" s="7" t="s">
        <v>15</v>
      </c>
      <c r="G14" s="8">
        <v>212001</v>
      </c>
      <c r="H14" s="9" t="s">
        <v>50</v>
      </c>
      <c r="I14" s="10">
        <v>0</v>
      </c>
      <c r="J14" s="10">
        <v>47770</v>
      </c>
      <c r="K14" s="10">
        <v>0</v>
      </c>
      <c r="L14" s="10">
        <v>0</v>
      </c>
      <c r="M14" s="11">
        <f>SUM(Tabla117[[#This Row],[TRIMESTRE  I]:[TRIMESTRE IV]])</f>
        <v>47770</v>
      </c>
      <c r="N14" s="12" t="s">
        <v>19</v>
      </c>
      <c r="O14" s="13">
        <v>45689</v>
      </c>
      <c r="P14" s="8" t="s">
        <v>256</v>
      </c>
    </row>
    <row r="15" spans="1:16" ht="37.5" customHeight="1" x14ac:dyDescent="0.2">
      <c r="A15" s="3">
        <v>402</v>
      </c>
      <c r="B15" s="4" t="s">
        <v>261</v>
      </c>
      <c r="C15" s="5">
        <v>530</v>
      </c>
      <c r="D15" s="6" t="s">
        <v>14</v>
      </c>
      <c r="E15" s="5" t="s">
        <v>273</v>
      </c>
      <c r="F15" s="7" t="s">
        <v>15</v>
      </c>
      <c r="G15" s="8">
        <v>212001</v>
      </c>
      <c r="H15" s="9" t="s">
        <v>50</v>
      </c>
      <c r="I15" s="10"/>
      <c r="J15" s="10">
        <v>10200</v>
      </c>
      <c r="K15" s="10">
        <v>0</v>
      </c>
      <c r="L15" s="10">
        <v>0</v>
      </c>
      <c r="M15" s="11">
        <f>SUM(Tabla117[[#This Row],[TRIMESTRE  I]:[TRIMESTRE IV]])</f>
        <v>10200</v>
      </c>
      <c r="N15" s="12" t="s">
        <v>19</v>
      </c>
      <c r="O15" s="13">
        <v>45689</v>
      </c>
      <c r="P15" s="8" t="s">
        <v>256</v>
      </c>
    </row>
    <row r="16" spans="1:16" ht="37.5" customHeight="1" x14ac:dyDescent="0.2">
      <c r="A16" s="3">
        <v>402</v>
      </c>
      <c r="B16" s="4" t="s">
        <v>261</v>
      </c>
      <c r="C16" s="5">
        <v>530</v>
      </c>
      <c r="D16" s="6" t="s">
        <v>14</v>
      </c>
      <c r="E16" s="5" t="s">
        <v>266</v>
      </c>
      <c r="F16" s="7" t="s">
        <v>15</v>
      </c>
      <c r="G16" s="8">
        <v>212001</v>
      </c>
      <c r="H16" s="9" t="s">
        <v>50</v>
      </c>
      <c r="I16" s="10">
        <v>0</v>
      </c>
      <c r="J16" s="10">
        <v>10282</v>
      </c>
      <c r="K16" s="10">
        <v>0</v>
      </c>
      <c r="L16" s="10">
        <v>0</v>
      </c>
      <c r="M16" s="11">
        <f>SUM(Tabla117[[#This Row],[TRIMESTRE  I]:[TRIMESTRE IV]])</f>
        <v>10282</v>
      </c>
      <c r="N16" s="12" t="s">
        <v>19</v>
      </c>
      <c r="O16" s="13">
        <v>45689</v>
      </c>
      <c r="P16" s="8" t="s">
        <v>256</v>
      </c>
    </row>
    <row r="17" spans="1:16" ht="37.5" customHeight="1" x14ac:dyDescent="0.2">
      <c r="A17" s="3">
        <v>419</v>
      </c>
      <c r="B17" s="4" t="s">
        <v>267</v>
      </c>
      <c r="C17" s="5">
        <v>530</v>
      </c>
      <c r="D17" s="6" t="s">
        <v>14</v>
      </c>
      <c r="E17" s="5" t="s">
        <v>268</v>
      </c>
      <c r="F17" s="7" t="s">
        <v>15</v>
      </c>
      <c r="G17" s="8">
        <v>212001</v>
      </c>
      <c r="H17" s="9" t="s">
        <v>50</v>
      </c>
      <c r="I17" s="10">
        <v>0</v>
      </c>
      <c r="J17" s="10">
        <v>27200</v>
      </c>
      <c r="K17" s="10">
        <v>0</v>
      </c>
      <c r="L17" s="10">
        <v>0</v>
      </c>
      <c r="M17" s="11">
        <f>SUM(Tabla117[[#This Row],[TRIMESTRE  I]:[TRIMESTRE IV]])</f>
        <v>27200</v>
      </c>
      <c r="N17" s="12" t="s">
        <v>19</v>
      </c>
      <c r="O17" s="13">
        <v>45689</v>
      </c>
      <c r="P17" s="8" t="s">
        <v>256</v>
      </c>
    </row>
    <row r="18" spans="1:16" ht="37.5" customHeight="1" x14ac:dyDescent="0.2">
      <c r="A18" s="3">
        <v>434</v>
      </c>
      <c r="B18" s="4" t="s">
        <v>269</v>
      </c>
      <c r="C18" s="5">
        <v>530</v>
      </c>
      <c r="D18" s="6" t="s">
        <v>14</v>
      </c>
      <c r="E18" s="5" t="s">
        <v>270</v>
      </c>
      <c r="F18" s="7" t="s">
        <v>15</v>
      </c>
      <c r="G18" s="8">
        <v>212001</v>
      </c>
      <c r="H18" s="9" t="s">
        <v>50</v>
      </c>
      <c r="I18" s="10">
        <v>0</v>
      </c>
      <c r="J18" s="10">
        <v>17000</v>
      </c>
      <c r="K18" s="10">
        <v>0</v>
      </c>
      <c r="L18" s="10">
        <v>0</v>
      </c>
      <c r="M18" s="11">
        <f>SUM(Tabla117[[#This Row],[TRIMESTRE  I]:[TRIMESTRE IV]])</f>
        <v>17000</v>
      </c>
      <c r="N18" s="12" t="s">
        <v>19</v>
      </c>
      <c r="O18" s="13">
        <v>45689</v>
      </c>
      <c r="P18" s="8" t="s">
        <v>256</v>
      </c>
    </row>
    <row r="19" spans="1:16" ht="37.5" customHeight="1" x14ac:dyDescent="0.2">
      <c r="A19" s="3">
        <v>435</v>
      </c>
      <c r="B19" s="4" t="s">
        <v>261</v>
      </c>
      <c r="C19" s="5">
        <v>530</v>
      </c>
      <c r="D19" s="6" t="s">
        <v>14</v>
      </c>
      <c r="E19" s="5" t="s">
        <v>271</v>
      </c>
      <c r="F19" s="7" t="s">
        <v>15</v>
      </c>
      <c r="G19" s="8">
        <v>212001</v>
      </c>
      <c r="H19" s="9" t="s">
        <v>50</v>
      </c>
      <c r="I19" s="10">
        <v>0</v>
      </c>
      <c r="J19" s="10">
        <v>22865</v>
      </c>
      <c r="K19" s="10">
        <v>0</v>
      </c>
      <c r="L19" s="10">
        <v>0</v>
      </c>
      <c r="M19" s="11">
        <f>SUM(Tabla117[[#This Row],[TRIMESTRE  I]:[TRIMESTRE IV]])</f>
        <v>22865</v>
      </c>
      <c r="N19" s="12" t="s">
        <v>19</v>
      </c>
      <c r="O19" s="13">
        <v>45689</v>
      </c>
      <c r="P19" s="8" t="s">
        <v>256</v>
      </c>
    </row>
    <row r="20" spans="1:16" ht="37.5" customHeight="1" x14ac:dyDescent="0.2">
      <c r="A20" s="3">
        <v>401</v>
      </c>
      <c r="B20" s="4" t="s">
        <v>261</v>
      </c>
      <c r="C20" s="5">
        <v>530</v>
      </c>
      <c r="D20" s="6" t="s">
        <v>14</v>
      </c>
      <c r="E20" s="5" t="s">
        <v>272</v>
      </c>
      <c r="F20" s="7" t="s">
        <v>15</v>
      </c>
      <c r="G20" s="8">
        <v>216001</v>
      </c>
      <c r="H20" s="9" t="s">
        <v>18</v>
      </c>
      <c r="I20" s="26">
        <v>15796</v>
      </c>
      <c r="J20" s="26">
        <v>15794</v>
      </c>
      <c r="K20" s="26">
        <v>15794</v>
      </c>
      <c r="L20" s="26">
        <v>15794</v>
      </c>
      <c r="M20" s="27">
        <f>SUM(Tabla117[[#This Row],[TRIMESTRE  I]:[TRIMESTRE IV]])</f>
        <v>63178</v>
      </c>
      <c r="N20" s="33" t="s">
        <v>17</v>
      </c>
      <c r="O20" s="12" t="s">
        <v>274</v>
      </c>
      <c r="P20" s="28" t="s">
        <v>61</v>
      </c>
    </row>
    <row r="21" spans="1:16" ht="37.5" customHeight="1" x14ac:dyDescent="0.2">
      <c r="A21" s="3">
        <v>401</v>
      </c>
      <c r="B21" s="4" t="s">
        <v>261</v>
      </c>
      <c r="C21" s="5">
        <v>530</v>
      </c>
      <c r="D21" s="6" t="s">
        <v>14</v>
      </c>
      <c r="E21" s="5" t="s">
        <v>263</v>
      </c>
      <c r="F21" s="7" t="s">
        <v>15</v>
      </c>
      <c r="G21" s="8">
        <v>216001</v>
      </c>
      <c r="H21" s="9" t="s">
        <v>18</v>
      </c>
      <c r="I21" s="26">
        <v>3382</v>
      </c>
      <c r="J21" s="26">
        <v>3380</v>
      </c>
      <c r="K21" s="26">
        <v>3380</v>
      </c>
      <c r="L21" s="26">
        <v>3380</v>
      </c>
      <c r="M21" s="27">
        <f>SUM(Tabla117[[#This Row],[TRIMESTRE  I]:[TRIMESTRE IV]])</f>
        <v>13522</v>
      </c>
      <c r="N21" s="33" t="s">
        <v>17</v>
      </c>
      <c r="O21" s="12" t="s">
        <v>71</v>
      </c>
      <c r="P21" s="28" t="s">
        <v>61</v>
      </c>
    </row>
    <row r="22" spans="1:16" ht="37.5" customHeight="1" x14ac:dyDescent="0.2">
      <c r="A22" s="3">
        <v>402</v>
      </c>
      <c r="B22" s="4" t="s">
        <v>261</v>
      </c>
      <c r="C22" s="5">
        <v>530</v>
      </c>
      <c r="D22" s="6" t="s">
        <v>14</v>
      </c>
      <c r="E22" s="5" t="s">
        <v>273</v>
      </c>
      <c r="F22" s="7" t="s">
        <v>15</v>
      </c>
      <c r="G22" s="8">
        <v>216001</v>
      </c>
      <c r="H22" s="9" t="s">
        <v>18</v>
      </c>
      <c r="I22" s="26">
        <v>1005</v>
      </c>
      <c r="J22" s="26">
        <v>900</v>
      </c>
      <c r="K22" s="26">
        <v>900</v>
      </c>
      <c r="L22" s="26">
        <v>900</v>
      </c>
      <c r="M22" s="27">
        <f>SUM(Tabla117[[#This Row],[TRIMESTRE  I]:[TRIMESTRE IV]])</f>
        <v>3705</v>
      </c>
      <c r="N22" s="33" t="s">
        <v>17</v>
      </c>
      <c r="O22" s="12" t="s">
        <v>71</v>
      </c>
      <c r="P22" s="28" t="s">
        <v>61</v>
      </c>
    </row>
    <row r="23" spans="1:16" ht="37.5" customHeight="1" x14ac:dyDescent="0.2">
      <c r="A23" s="3">
        <v>402</v>
      </c>
      <c r="B23" s="4" t="s">
        <v>261</v>
      </c>
      <c r="C23" s="5">
        <v>530</v>
      </c>
      <c r="D23" s="6" t="s">
        <v>14</v>
      </c>
      <c r="E23" s="5" t="s">
        <v>266</v>
      </c>
      <c r="F23" s="7" t="s">
        <v>15</v>
      </c>
      <c r="G23" s="8">
        <v>216001</v>
      </c>
      <c r="H23" s="9" t="s">
        <v>18</v>
      </c>
      <c r="I23" s="26">
        <v>1921</v>
      </c>
      <c r="J23" s="26">
        <v>1890</v>
      </c>
      <c r="K23" s="26">
        <v>1890</v>
      </c>
      <c r="L23" s="26">
        <v>1890</v>
      </c>
      <c r="M23" s="27">
        <f>SUM(Tabla117[[#This Row],[TRIMESTRE  I]:[TRIMESTRE IV]])</f>
        <v>7591</v>
      </c>
      <c r="N23" s="33" t="s">
        <v>17</v>
      </c>
      <c r="O23" s="12" t="s">
        <v>49</v>
      </c>
      <c r="P23" s="28" t="s">
        <v>61</v>
      </c>
    </row>
    <row r="24" spans="1:16" ht="37.5" customHeight="1" x14ac:dyDescent="0.2">
      <c r="A24" s="3">
        <v>419</v>
      </c>
      <c r="B24" s="4" t="s">
        <v>267</v>
      </c>
      <c r="C24" s="5">
        <v>530</v>
      </c>
      <c r="D24" s="6" t="s">
        <v>14</v>
      </c>
      <c r="E24" s="5" t="s">
        <v>268</v>
      </c>
      <c r="F24" s="7" t="s">
        <v>15</v>
      </c>
      <c r="G24" s="8">
        <v>216001</v>
      </c>
      <c r="H24" s="9" t="s">
        <v>18</v>
      </c>
      <c r="I24" s="26">
        <v>1900</v>
      </c>
      <c r="J24" s="26">
        <v>1788</v>
      </c>
      <c r="K24" s="26">
        <v>1387</v>
      </c>
      <c r="L24" s="26">
        <v>1555</v>
      </c>
      <c r="M24" s="27">
        <f>SUM(Tabla117[[#This Row],[TRIMESTRE  I]:[TRIMESTRE IV]])</f>
        <v>6630</v>
      </c>
      <c r="N24" s="33" t="s">
        <v>17</v>
      </c>
      <c r="O24" s="12" t="s">
        <v>49</v>
      </c>
      <c r="P24" s="28" t="s">
        <v>61</v>
      </c>
    </row>
    <row r="25" spans="1:16" ht="37.5" customHeight="1" x14ac:dyDescent="0.2">
      <c r="A25" s="3">
        <v>434</v>
      </c>
      <c r="B25" s="4" t="s">
        <v>269</v>
      </c>
      <c r="C25" s="5">
        <v>530</v>
      </c>
      <c r="D25" s="6" t="s">
        <v>14</v>
      </c>
      <c r="E25" s="5" t="s">
        <v>270</v>
      </c>
      <c r="F25" s="7" t="s">
        <v>15</v>
      </c>
      <c r="G25" s="8">
        <v>216001</v>
      </c>
      <c r="H25" s="9" t="s">
        <v>18</v>
      </c>
      <c r="I25" s="26">
        <v>1000</v>
      </c>
      <c r="J25" s="26">
        <v>292</v>
      </c>
      <c r="K25" s="26">
        <v>0</v>
      </c>
      <c r="L25" s="26">
        <v>0</v>
      </c>
      <c r="M25" s="27">
        <f>SUM(Tabla117[[#This Row],[TRIMESTRE  I]:[TRIMESTRE IV]])</f>
        <v>1292</v>
      </c>
      <c r="N25" s="33" t="s">
        <v>17</v>
      </c>
      <c r="O25" s="12" t="s">
        <v>49</v>
      </c>
      <c r="P25" s="28" t="s">
        <v>61</v>
      </c>
    </row>
    <row r="26" spans="1:16" ht="37.5" customHeight="1" x14ac:dyDescent="0.2">
      <c r="A26" s="3">
        <v>435</v>
      </c>
      <c r="B26" s="4" t="s">
        <v>261</v>
      </c>
      <c r="C26" s="5">
        <v>530</v>
      </c>
      <c r="D26" s="6" t="s">
        <v>14</v>
      </c>
      <c r="E26" s="5" t="s">
        <v>271</v>
      </c>
      <c r="F26" s="7" t="s">
        <v>15</v>
      </c>
      <c r="G26" s="8">
        <v>216001</v>
      </c>
      <c r="H26" s="9" t="s">
        <v>18</v>
      </c>
      <c r="I26" s="26">
        <v>1500</v>
      </c>
      <c r="J26" s="26">
        <v>1500</v>
      </c>
      <c r="K26" s="26">
        <v>1000</v>
      </c>
      <c r="L26" s="26">
        <v>696</v>
      </c>
      <c r="M26" s="27">
        <f>SUM(Tabla117[[#This Row],[TRIMESTRE  I]:[TRIMESTRE IV]])</f>
        <v>4696</v>
      </c>
      <c r="N26" s="33" t="s">
        <v>17</v>
      </c>
      <c r="O26" s="12" t="s">
        <v>49</v>
      </c>
      <c r="P26" s="28" t="s">
        <v>61</v>
      </c>
    </row>
    <row r="27" spans="1:16" ht="37.5" customHeight="1" x14ac:dyDescent="0.2">
      <c r="A27" s="3">
        <v>401</v>
      </c>
      <c r="B27" s="4" t="s">
        <v>261</v>
      </c>
      <c r="C27" s="5">
        <v>530</v>
      </c>
      <c r="D27" s="6" t="s">
        <v>14</v>
      </c>
      <c r="E27" s="5" t="s">
        <v>262</v>
      </c>
      <c r="F27" s="7" t="s">
        <v>15</v>
      </c>
      <c r="G27" s="28">
        <v>221001</v>
      </c>
      <c r="H27" s="25" t="s">
        <v>93</v>
      </c>
      <c r="I27" s="26">
        <v>70000</v>
      </c>
      <c r="J27" s="26">
        <v>60000</v>
      </c>
      <c r="K27" s="26">
        <v>55000</v>
      </c>
      <c r="L27" s="26">
        <v>33014</v>
      </c>
      <c r="M27" s="27">
        <f>SUM(Tabla117[[#This Row],[TRIMESTRE  I]:[TRIMESTRE IV]])</f>
        <v>218014</v>
      </c>
      <c r="N27" s="33" t="s">
        <v>19</v>
      </c>
      <c r="O27" s="12" t="s">
        <v>49</v>
      </c>
      <c r="P27" s="8" t="s">
        <v>256</v>
      </c>
    </row>
    <row r="28" spans="1:16" ht="37.5" customHeight="1" x14ac:dyDescent="0.2">
      <c r="A28" s="3">
        <v>401</v>
      </c>
      <c r="B28" s="4" t="s">
        <v>261</v>
      </c>
      <c r="C28" s="5">
        <v>530</v>
      </c>
      <c r="D28" s="6" t="s">
        <v>14</v>
      </c>
      <c r="E28" s="5" t="s">
        <v>263</v>
      </c>
      <c r="F28" s="7" t="s">
        <v>15</v>
      </c>
      <c r="G28" s="28">
        <v>221001</v>
      </c>
      <c r="H28" s="25" t="s">
        <v>93</v>
      </c>
      <c r="I28" s="26">
        <v>30000</v>
      </c>
      <c r="J28" s="26">
        <v>45000</v>
      </c>
      <c r="K28" s="26">
        <v>40000</v>
      </c>
      <c r="L28" s="26">
        <v>36742</v>
      </c>
      <c r="M28" s="27">
        <f>SUM(Tabla117[[#This Row],[TRIMESTRE  I]:[TRIMESTRE IV]])</f>
        <v>151742</v>
      </c>
      <c r="N28" s="33" t="s">
        <v>19</v>
      </c>
      <c r="O28" s="12" t="s">
        <v>49</v>
      </c>
      <c r="P28" s="8" t="s">
        <v>256</v>
      </c>
    </row>
    <row r="29" spans="1:16" ht="37.5" customHeight="1" x14ac:dyDescent="0.2">
      <c r="A29" s="3">
        <v>402</v>
      </c>
      <c r="B29" s="4" t="s">
        <v>261</v>
      </c>
      <c r="C29" s="5">
        <v>530</v>
      </c>
      <c r="D29" s="6" t="s">
        <v>14</v>
      </c>
      <c r="E29" s="5" t="s">
        <v>264</v>
      </c>
      <c r="F29" s="7" t="s">
        <v>15</v>
      </c>
      <c r="G29" s="28">
        <v>221001</v>
      </c>
      <c r="H29" s="25" t="s">
        <v>93</v>
      </c>
      <c r="I29" s="26">
        <v>26000</v>
      </c>
      <c r="J29" s="26">
        <v>22000</v>
      </c>
      <c r="K29" s="26">
        <v>22000</v>
      </c>
      <c r="L29" s="26">
        <v>19803</v>
      </c>
      <c r="M29" s="27">
        <f>SUM(Tabla117[[#This Row],[TRIMESTRE  I]:[TRIMESTRE IV]])</f>
        <v>89803</v>
      </c>
      <c r="N29" s="33" t="s">
        <v>19</v>
      </c>
      <c r="O29" s="12" t="s">
        <v>49</v>
      </c>
      <c r="P29" s="8" t="s">
        <v>256</v>
      </c>
    </row>
    <row r="30" spans="1:16" ht="37.5" customHeight="1" x14ac:dyDescent="0.2">
      <c r="A30" s="3">
        <v>402</v>
      </c>
      <c r="B30" s="4" t="s">
        <v>261</v>
      </c>
      <c r="C30" s="5">
        <v>530</v>
      </c>
      <c r="D30" s="6" t="s">
        <v>14</v>
      </c>
      <c r="E30" s="5" t="s">
        <v>265</v>
      </c>
      <c r="F30" s="7" t="s">
        <v>15</v>
      </c>
      <c r="G30" s="28">
        <v>221001</v>
      </c>
      <c r="H30" s="25" t="s">
        <v>93</v>
      </c>
      <c r="I30" s="26">
        <v>3721</v>
      </c>
      <c r="J30" s="26">
        <v>3718</v>
      </c>
      <c r="K30" s="26">
        <v>3718</v>
      </c>
      <c r="L30" s="26">
        <v>3718</v>
      </c>
      <c r="M30" s="27">
        <f>SUM(Tabla117[[#This Row],[TRIMESTRE  I]:[TRIMESTRE IV]])</f>
        <v>14875</v>
      </c>
      <c r="N30" s="33" t="s">
        <v>19</v>
      </c>
      <c r="O30" s="12" t="s">
        <v>49</v>
      </c>
      <c r="P30" s="8" t="s">
        <v>256</v>
      </c>
    </row>
    <row r="31" spans="1:16" ht="37.5" customHeight="1" x14ac:dyDescent="0.2">
      <c r="A31" s="3">
        <v>434</v>
      </c>
      <c r="B31" s="4" t="s">
        <v>269</v>
      </c>
      <c r="C31" s="5">
        <v>530</v>
      </c>
      <c r="D31" s="6" t="s">
        <v>14</v>
      </c>
      <c r="E31" s="5" t="s">
        <v>270</v>
      </c>
      <c r="F31" s="7" t="s">
        <v>15</v>
      </c>
      <c r="G31" s="8">
        <v>221001</v>
      </c>
      <c r="H31" s="25" t="s">
        <v>93</v>
      </c>
      <c r="I31" s="26">
        <v>11414</v>
      </c>
      <c r="J31" s="26">
        <v>11414</v>
      </c>
      <c r="K31" s="26">
        <v>11414</v>
      </c>
      <c r="L31" s="26">
        <v>11412</v>
      </c>
      <c r="M31" s="27">
        <f>SUM(Tabla117[[#This Row],[TRIMESTRE  I]:[TRIMESTRE IV]])</f>
        <v>45654</v>
      </c>
      <c r="N31" s="33" t="s">
        <v>19</v>
      </c>
      <c r="O31" s="12" t="s">
        <v>49</v>
      </c>
      <c r="P31" s="8" t="s">
        <v>256</v>
      </c>
    </row>
    <row r="32" spans="1:16" ht="37.5" customHeight="1" x14ac:dyDescent="0.2">
      <c r="A32" s="3">
        <v>435</v>
      </c>
      <c r="B32" s="4" t="s">
        <v>261</v>
      </c>
      <c r="C32" s="5">
        <v>530</v>
      </c>
      <c r="D32" s="6" t="s">
        <v>14</v>
      </c>
      <c r="E32" s="5" t="s">
        <v>271</v>
      </c>
      <c r="F32" s="7" t="s">
        <v>15</v>
      </c>
      <c r="G32" s="8">
        <v>221001</v>
      </c>
      <c r="H32" s="25" t="s">
        <v>93</v>
      </c>
      <c r="I32" s="26">
        <v>6000</v>
      </c>
      <c r="J32" s="26">
        <v>8000</v>
      </c>
      <c r="K32" s="26">
        <v>9000</v>
      </c>
      <c r="L32" s="26">
        <v>3754</v>
      </c>
      <c r="M32" s="27">
        <f>SUM(Tabla117[[#This Row],[TRIMESTRE  I]:[TRIMESTRE IV]])</f>
        <v>26754</v>
      </c>
      <c r="N32" s="33" t="s">
        <v>19</v>
      </c>
      <c r="O32" s="12" t="s">
        <v>49</v>
      </c>
      <c r="P32" s="8" t="s">
        <v>256</v>
      </c>
    </row>
    <row r="33" spans="1:16" ht="37.5" customHeight="1" x14ac:dyDescent="0.2">
      <c r="A33" s="3">
        <v>401</v>
      </c>
      <c r="B33" s="4" t="s">
        <v>261</v>
      </c>
      <c r="C33" s="5">
        <v>530</v>
      </c>
      <c r="D33" s="6" t="s">
        <v>14</v>
      </c>
      <c r="E33" s="5" t="s">
        <v>272</v>
      </c>
      <c r="F33" s="7" t="s">
        <v>15</v>
      </c>
      <c r="G33" s="8">
        <v>261001</v>
      </c>
      <c r="H33" s="9" t="s">
        <v>46</v>
      </c>
      <c r="I33" s="26">
        <v>180000</v>
      </c>
      <c r="J33" s="26">
        <v>180000</v>
      </c>
      <c r="K33" s="26">
        <v>180000</v>
      </c>
      <c r="L33" s="26">
        <v>180000</v>
      </c>
      <c r="M33" s="27">
        <f>SUM(Tabla117[[#This Row],[TRIMESTRE  I]:[TRIMESTRE IV]])</f>
        <v>720000</v>
      </c>
      <c r="N33" s="33" t="s">
        <v>30</v>
      </c>
      <c r="O33" s="12" t="s">
        <v>49</v>
      </c>
      <c r="P33" s="28" t="s">
        <v>275</v>
      </c>
    </row>
    <row r="34" spans="1:16" ht="37.5" customHeight="1" x14ac:dyDescent="0.2">
      <c r="A34" s="3">
        <v>401</v>
      </c>
      <c r="B34" s="4" t="s">
        <v>261</v>
      </c>
      <c r="C34" s="5">
        <v>530</v>
      </c>
      <c r="D34" s="6" t="s">
        <v>14</v>
      </c>
      <c r="E34" s="5" t="s">
        <v>263</v>
      </c>
      <c r="F34" s="7" t="s">
        <v>15</v>
      </c>
      <c r="G34" s="8">
        <v>261001</v>
      </c>
      <c r="H34" s="9" t="s">
        <v>46</v>
      </c>
      <c r="I34" s="26">
        <v>45000</v>
      </c>
      <c r="J34" s="26">
        <v>77060</v>
      </c>
      <c r="K34" s="26">
        <v>45000</v>
      </c>
      <c r="L34" s="26">
        <v>62766</v>
      </c>
      <c r="M34" s="27">
        <f>SUM(Tabla117[[#This Row],[TRIMESTRE  I]:[TRIMESTRE IV]])</f>
        <v>229826</v>
      </c>
      <c r="N34" s="33" t="s">
        <v>30</v>
      </c>
      <c r="O34" s="12" t="s">
        <v>49</v>
      </c>
      <c r="P34" s="28" t="s">
        <v>275</v>
      </c>
    </row>
    <row r="35" spans="1:16" ht="37.5" customHeight="1" x14ac:dyDescent="0.2">
      <c r="A35" s="3">
        <v>402</v>
      </c>
      <c r="B35" s="4" t="s">
        <v>261</v>
      </c>
      <c r="C35" s="5">
        <v>530</v>
      </c>
      <c r="D35" s="6" t="s">
        <v>14</v>
      </c>
      <c r="E35" s="5" t="s">
        <v>276</v>
      </c>
      <c r="F35" s="7" t="s">
        <v>15</v>
      </c>
      <c r="G35" s="8">
        <v>261001</v>
      </c>
      <c r="H35" s="9" t="s">
        <v>46</v>
      </c>
      <c r="I35" s="26">
        <v>55335</v>
      </c>
      <c r="J35" s="26">
        <v>55335</v>
      </c>
      <c r="K35" s="26">
        <v>55335</v>
      </c>
      <c r="L35" s="26">
        <v>55338</v>
      </c>
      <c r="M35" s="27">
        <f>SUM(Tabla117[[#This Row],[TRIMESTRE  I]:[TRIMESTRE IV]])</f>
        <v>221343</v>
      </c>
      <c r="N35" s="33" t="s">
        <v>30</v>
      </c>
      <c r="O35" s="12" t="s">
        <v>49</v>
      </c>
      <c r="P35" s="28" t="s">
        <v>275</v>
      </c>
    </row>
    <row r="36" spans="1:16" ht="37.5" customHeight="1" x14ac:dyDescent="0.2">
      <c r="A36" s="3">
        <v>402</v>
      </c>
      <c r="B36" s="4" t="s">
        <v>261</v>
      </c>
      <c r="C36" s="5">
        <v>530</v>
      </c>
      <c r="D36" s="6" t="s">
        <v>14</v>
      </c>
      <c r="E36" s="5" t="s">
        <v>273</v>
      </c>
      <c r="F36" s="7" t="s">
        <v>15</v>
      </c>
      <c r="G36" s="8">
        <v>261001</v>
      </c>
      <c r="H36" s="9" t="s">
        <v>46</v>
      </c>
      <c r="I36" s="26">
        <v>27000</v>
      </c>
      <c r="J36" s="26">
        <v>27000</v>
      </c>
      <c r="K36" s="26">
        <v>28000</v>
      </c>
      <c r="L36" s="26">
        <v>29747</v>
      </c>
      <c r="M36" s="27">
        <f>SUM(Tabla117[[#This Row],[TRIMESTRE  I]:[TRIMESTRE IV]])</f>
        <v>111747</v>
      </c>
      <c r="N36" s="33" t="s">
        <v>30</v>
      </c>
      <c r="O36" s="12" t="s">
        <v>49</v>
      </c>
      <c r="P36" s="28" t="s">
        <v>275</v>
      </c>
    </row>
    <row r="37" spans="1:16" ht="37.5" customHeight="1" x14ac:dyDescent="0.2">
      <c r="A37" s="3">
        <v>402</v>
      </c>
      <c r="B37" s="4" t="s">
        <v>261</v>
      </c>
      <c r="C37" s="5">
        <v>530</v>
      </c>
      <c r="D37" s="6" t="s">
        <v>14</v>
      </c>
      <c r="E37" s="5" t="s">
        <v>266</v>
      </c>
      <c r="F37" s="7" t="s">
        <v>15</v>
      </c>
      <c r="G37" s="8">
        <v>261001</v>
      </c>
      <c r="H37" s="9" t="s">
        <v>46</v>
      </c>
      <c r="I37" s="26">
        <v>3325</v>
      </c>
      <c r="J37" s="26">
        <v>3325</v>
      </c>
      <c r="K37" s="26">
        <v>3325</v>
      </c>
      <c r="L37" s="26">
        <v>3328</v>
      </c>
      <c r="M37" s="27">
        <f>SUM(Tabla117[[#This Row],[TRIMESTRE  I]:[TRIMESTRE IV]])</f>
        <v>13303</v>
      </c>
      <c r="N37" s="33" t="s">
        <v>30</v>
      </c>
      <c r="O37" s="12" t="s">
        <v>49</v>
      </c>
      <c r="P37" s="28" t="s">
        <v>275</v>
      </c>
    </row>
    <row r="38" spans="1:16" ht="37.5" customHeight="1" x14ac:dyDescent="0.2">
      <c r="A38" s="3">
        <v>419</v>
      </c>
      <c r="B38" s="4" t="s">
        <v>267</v>
      </c>
      <c r="C38" s="5">
        <v>530</v>
      </c>
      <c r="D38" s="6" t="s">
        <v>14</v>
      </c>
      <c r="E38" s="5" t="s">
        <v>268</v>
      </c>
      <c r="F38" s="7" t="s">
        <v>15</v>
      </c>
      <c r="G38" s="8">
        <v>261001</v>
      </c>
      <c r="H38" s="9" t="s">
        <v>46</v>
      </c>
      <c r="I38" s="26">
        <v>10000</v>
      </c>
      <c r="J38" s="26">
        <v>10000</v>
      </c>
      <c r="K38" s="26">
        <v>10000</v>
      </c>
      <c r="L38" s="26">
        <v>10304</v>
      </c>
      <c r="M38" s="27">
        <f>SUM(Tabla117[[#This Row],[TRIMESTRE  I]:[TRIMESTRE IV]])</f>
        <v>40304</v>
      </c>
      <c r="N38" s="33" t="s">
        <v>30</v>
      </c>
      <c r="O38" s="12" t="s">
        <v>49</v>
      </c>
      <c r="P38" s="28" t="s">
        <v>275</v>
      </c>
    </row>
    <row r="39" spans="1:16" ht="37.5" customHeight="1" x14ac:dyDescent="0.2">
      <c r="A39" s="3">
        <v>434</v>
      </c>
      <c r="B39" s="4" t="s">
        <v>269</v>
      </c>
      <c r="C39" s="5">
        <v>530</v>
      </c>
      <c r="D39" s="6" t="s">
        <v>14</v>
      </c>
      <c r="E39" s="5" t="s">
        <v>270</v>
      </c>
      <c r="F39" s="7" t="s">
        <v>15</v>
      </c>
      <c r="G39" s="8">
        <v>261001</v>
      </c>
      <c r="H39" s="9" t="s">
        <v>46</v>
      </c>
      <c r="I39" s="26">
        <v>300000</v>
      </c>
      <c r="J39" s="26">
        <v>300000</v>
      </c>
      <c r="K39" s="26">
        <v>300000</v>
      </c>
      <c r="L39" s="26">
        <v>300000</v>
      </c>
      <c r="M39" s="27">
        <f>SUM(Tabla117[[#This Row],[TRIMESTRE  I]:[TRIMESTRE IV]])</f>
        <v>1200000</v>
      </c>
      <c r="N39" s="33" t="s">
        <v>30</v>
      </c>
      <c r="O39" s="12" t="s">
        <v>49</v>
      </c>
      <c r="P39" s="28" t="s">
        <v>275</v>
      </c>
    </row>
    <row r="40" spans="1:16" ht="37.5" customHeight="1" x14ac:dyDescent="0.2">
      <c r="A40" s="3">
        <v>435</v>
      </c>
      <c r="B40" s="4" t="s">
        <v>261</v>
      </c>
      <c r="C40" s="5">
        <v>530</v>
      </c>
      <c r="D40" s="6" t="s">
        <v>14</v>
      </c>
      <c r="E40" s="5" t="s">
        <v>277</v>
      </c>
      <c r="F40" s="7" t="s">
        <v>15</v>
      </c>
      <c r="G40" s="8">
        <v>261001</v>
      </c>
      <c r="H40" s="9" t="s">
        <v>46</v>
      </c>
      <c r="I40" s="26">
        <v>65000</v>
      </c>
      <c r="J40" s="26">
        <v>65000</v>
      </c>
      <c r="K40" s="26">
        <v>65000</v>
      </c>
      <c r="L40" s="26">
        <v>67923</v>
      </c>
      <c r="M40" s="27">
        <f>SUM(Tabla117[[#This Row],[TRIMESTRE  I]:[TRIMESTRE IV]])</f>
        <v>262923</v>
      </c>
      <c r="N40" s="33" t="s">
        <v>30</v>
      </c>
      <c r="O40" s="12" t="s">
        <v>49</v>
      </c>
      <c r="P40" s="28" t="s">
        <v>275</v>
      </c>
    </row>
    <row r="41" spans="1:16" ht="37.5" customHeight="1" x14ac:dyDescent="0.2">
      <c r="A41" s="3">
        <v>401</v>
      </c>
      <c r="B41" s="4" t="s">
        <v>261</v>
      </c>
      <c r="C41" s="5">
        <v>530</v>
      </c>
      <c r="D41" s="6" t="s">
        <v>14</v>
      </c>
      <c r="E41" s="5" t="s">
        <v>262</v>
      </c>
      <c r="F41" s="32" t="s">
        <v>15</v>
      </c>
      <c r="G41" s="28">
        <v>261002</v>
      </c>
      <c r="H41" s="25" t="s">
        <v>111</v>
      </c>
      <c r="I41" s="26">
        <v>60580</v>
      </c>
      <c r="J41" s="26">
        <v>0</v>
      </c>
      <c r="K41" s="26">
        <v>0</v>
      </c>
      <c r="L41" s="26">
        <v>0</v>
      </c>
      <c r="M41" s="27">
        <f>SUM(Tabla117[[#This Row],[TRIMESTRE  I]:[TRIMESTRE IV]])</f>
        <v>60580</v>
      </c>
      <c r="N41" s="33" t="s">
        <v>19</v>
      </c>
      <c r="O41" s="12" t="s">
        <v>49</v>
      </c>
      <c r="P41" s="8" t="s">
        <v>256</v>
      </c>
    </row>
    <row r="42" spans="1:16" ht="37.5" customHeight="1" x14ac:dyDescent="0.2">
      <c r="A42" s="3">
        <v>401</v>
      </c>
      <c r="B42" s="4" t="s">
        <v>261</v>
      </c>
      <c r="C42" s="5">
        <v>530</v>
      </c>
      <c r="D42" s="6" t="s">
        <v>14</v>
      </c>
      <c r="E42" s="5" t="s">
        <v>263</v>
      </c>
      <c r="F42" s="32" t="s">
        <v>15</v>
      </c>
      <c r="G42" s="28">
        <v>261002</v>
      </c>
      <c r="H42" s="25" t="s">
        <v>111</v>
      </c>
      <c r="I42" s="26">
        <v>22039</v>
      </c>
      <c r="J42" s="26">
        <v>0</v>
      </c>
      <c r="K42" s="26">
        <v>0</v>
      </c>
      <c r="L42" s="26">
        <v>0</v>
      </c>
      <c r="M42" s="27">
        <f>SUM(Tabla117[[#This Row],[TRIMESTRE  I]:[TRIMESTRE IV]])</f>
        <v>22039</v>
      </c>
      <c r="N42" s="33" t="s">
        <v>19</v>
      </c>
      <c r="O42" s="12" t="s">
        <v>49</v>
      </c>
      <c r="P42" s="8" t="s">
        <v>256</v>
      </c>
    </row>
    <row r="43" spans="1:16" ht="37.5" customHeight="1" x14ac:dyDescent="0.2">
      <c r="A43" s="3">
        <v>419</v>
      </c>
      <c r="B43" s="4" t="s">
        <v>267</v>
      </c>
      <c r="C43" s="5">
        <v>530</v>
      </c>
      <c r="D43" s="6" t="s">
        <v>14</v>
      </c>
      <c r="E43" s="5" t="s">
        <v>268</v>
      </c>
      <c r="F43" s="7" t="s">
        <v>15</v>
      </c>
      <c r="G43" s="28">
        <v>261002</v>
      </c>
      <c r="H43" s="25" t="s">
        <v>111</v>
      </c>
      <c r="I43" s="26">
        <v>15035</v>
      </c>
      <c r="J43" s="26">
        <v>0</v>
      </c>
      <c r="K43" s="26">
        <v>0</v>
      </c>
      <c r="L43" s="26">
        <v>0</v>
      </c>
      <c r="M43" s="27">
        <f>SUM(Tabla117[[#This Row],[TRIMESTRE  I]:[TRIMESTRE IV]])</f>
        <v>15035</v>
      </c>
      <c r="N43" s="33" t="s">
        <v>19</v>
      </c>
      <c r="O43" s="12" t="s">
        <v>49</v>
      </c>
      <c r="P43" s="8" t="s">
        <v>256</v>
      </c>
    </row>
    <row r="44" spans="1:16" ht="37.5" customHeight="1" x14ac:dyDescent="0.2">
      <c r="A44" s="3">
        <v>434</v>
      </c>
      <c r="B44" s="4" t="s">
        <v>269</v>
      </c>
      <c r="C44" s="5">
        <v>530</v>
      </c>
      <c r="D44" s="6" t="s">
        <v>14</v>
      </c>
      <c r="E44" s="5" t="s">
        <v>270</v>
      </c>
      <c r="F44" s="7" t="s">
        <v>15</v>
      </c>
      <c r="G44" s="28">
        <v>261002</v>
      </c>
      <c r="H44" s="25" t="s">
        <v>111</v>
      </c>
      <c r="I44" s="26">
        <v>24525</v>
      </c>
      <c r="J44" s="26">
        <v>0</v>
      </c>
      <c r="K44" s="26">
        <v>0</v>
      </c>
      <c r="L44" s="26">
        <v>0</v>
      </c>
      <c r="M44" s="27">
        <f>SUM(Tabla117[[#This Row],[TRIMESTRE  I]:[TRIMESTRE IV]])</f>
        <v>24525</v>
      </c>
      <c r="N44" s="33" t="s">
        <v>19</v>
      </c>
      <c r="O44" s="12" t="s">
        <v>49</v>
      </c>
      <c r="P44" s="8" t="s">
        <v>256</v>
      </c>
    </row>
    <row r="45" spans="1:16" ht="37.5" customHeight="1" x14ac:dyDescent="0.2">
      <c r="A45" s="30"/>
      <c r="B45" s="34"/>
      <c r="C45" s="31"/>
      <c r="D45" s="6" t="s">
        <v>14</v>
      </c>
      <c r="E45" s="5" t="s">
        <v>262</v>
      </c>
      <c r="F45" s="7" t="s">
        <v>15</v>
      </c>
      <c r="G45" s="28">
        <v>296001</v>
      </c>
      <c r="H45" s="25" t="s">
        <v>51</v>
      </c>
      <c r="I45" s="26">
        <v>84439</v>
      </c>
      <c r="J45" s="26">
        <v>0</v>
      </c>
      <c r="K45" s="26">
        <v>0</v>
      </c>
      <c r="L45" s="26">
        <v>0</v>
      </c>
      <c r="M45" s="27">
        <f>SUM(Tabla117[[#This Row],[TRIMESTRE  I]:[TRIMESTRE IV]])</f>
        <v>84439</v>
      </c>
      <c r="N45" s="33" t="s">
        <v>20</v>
      </c>
      <c r="O45" s="33" t="s">
        <v>49</v>
      </c>
      <c r="P45" s="8" t="s">
        <v>278</v>
      </c>
    </row>
    <row r="46" spans="1:16" ht="37.5" customHeight="1" x14ac:dyDescent="0.2">
      <c r="A46" s="30"/>
      <c r="B46" s="34"/>
      <c r="C46" s="31"/>
      <c r="D46" s="6" t="s">
        <v>14</v>
      </c>
      <c r="E46" s="5" t="s">
        <v>263</v>
      </c>
      <c r="F46" s="7" t="s">
        <v>15</v>
      </c>
      <c r="G46" s="28">
        <v>296001</v>
      </c>
      <c r="H46" s="25" t="s">
        <v>51</v>
      </c>
      <c r="I46" s="26">
        <v>55828</v>
      </c>
      <c r="J46" s="26">
        <v>0</v>
      </c>
      <c r="K46" s="26">
        <v>0</v>
      </c>
      <c r="L46" s="26">
        <v>0</v>
      </c>
      <c r="M46" s="27">
        <f>SUM(Tabla117[[#This Row],[TRIMESTRE  I]:[TRIMESTRE IV]])</f>
        <v>55828</v>
      </c>
      <c r="N46" s="33" t="s">
        <v>20</v>
      </c>
      <c r="O46" s="33" t="s">
        <v>49</v>
      </c>
      <c r="P46" s="8" t="s">
        <v>278</v>
      </c>
    </row>
    <row r="47" spans="1:16" ht="37.5" customHeight="1" x14ac:dyDescent="0.2">
      <c r="A47" s="30"/>
      <c r="B47" s="34"/>
      <c r="C47" s="31"/>
      <c r="D47" s="6" t="s">
        <v>102</v>
      </c>
      <c r="E47" s="5" t="s">
        <v>264</v>
      </c>
      <c r="F47" s="7" t="s">
        <v>15</v>
      </c>
      <c r="G47" s="28">
        <v>296001</v>
      </c>
      <c r="H47" s="25" t="s">
        <v>51</v>
      </c>
      <c r="I47" s="26">
        <v>19145</v>
      </c>
      <c r="J47" s="26">
        <v>0</v>
      </c>
      <c r="K47" s="26">
        <v>0</v>
      </c>
      <c r="L47" s="26">
        <v>0</v>
      </c>
      <c r="M47" s="27">
        <f>SUM(Tabla117[[#This Row],[TRIMESTRE  I]:[TRIMESTRE IV]])</f>
        <v>19145</v>
      </c>
      <c r="N47" s="33" t="s">
        <v>19</v>
      </c>
      <c r="O47" s="33" t="s">
        <v>49</v>
      </c>
      <c r="P47" s="8" t="s">
        <v>278</v>
      </c>
    </row>
    <row r="48" spans="1:16" ht="37.5" customHeight="1" x14ac:dyDescent="0.2">
      <c r="A48" s="3">
        <v>435</v>
      </c>
      <c r="B48" s="4" t="s">
        <v>261</v>
      </c>
      <c r="C48" s="5">
        <v>530</v>
      </c>
      <c r="D48" s="6" t="s">
        <v>14</v>
      </c>
      <c r="E48" s="5" t="s">
        <v>268</v>
      </c>
      <c r="F48" s="32" t="s">
        <v>15</v>
      </c>
      <c r="G48" s="28">
        <v>296001</v>
      </c>
      <c r="H48" s="25" t="s">
        <v>51</v>
      </c>
      <c r="I48" s="26">
        <v>7736</v>
      </c>
      <c r="J48" s="26">
        <v>0</v>
      </c>
      <c r="K48" s="26">
        <v>0</v>
      </c>
      <c r="L48" s="26">
        <v>0</v>
      </c>
      <c r="M48" s="27">
        <f>SUM(Tabla117[[#This Row],[TRIMESTRE  I]:[TRIMESTRE IV]])</f>
        <v>7736</v>
      </c>
      <c r="N48" s="33" t="s">
        <v>19</v>
      </c>
      <c r="O48" s="33" t="s">
        <v>49</v>
      </c>
      <c r="P48" s="8" t="s">
        <v>278</v>
      </c>
    </row>
    <row r="49" spans="1:16" ht="37.5" customHeight="1" x14ac:dyDescent="0.2">
      <c r="A49" s="3">
        <v>401</v>
      </c>
      <c r="B49" s="4" t="s">
        <v>261</v>
      </c>
      <c r="C49" s="5">
        <v>530</v>
      </c>
      <c r="D49" s="6" t="s">
        <v>14</v>
      </c>
      <c r="E49" s="5" t="s">
        <v>272</v>
      </c>
      <c r="F49" s="32" t="s">
        <v>15</v>
      </c>
      <c r="G49" s="28">
        <v>271001</v>
      </c>
      <c r="H49" s="25" t="s">
        <v>372</v>
      </c>
      <c r="I49" s="26">
        <v>0</v>
      </c>
      <c r="J49" s="26">
        <v>33167</v>
      </c>
      <c r="K49" s="26">
        <v>0</v>
      </c>
      <c r="L49" s="26">
        <v>0</v>
      </c>
      <c r="M49" s="27">
        <f>SUM(Tabla117[[#This Row],[TRIMESTRE  I]:[TRIMESTRE IV]])</f>
        <v>33167</v>
      </c>
      <c r="N49" s="33" t="s">
        <v>30</v>
      </c>
      <c r="O49" s="61">
        <v>45717</v>
      </c>
      <c r="P49" s="28" t="s">
        <v>275</v>
      </c>
    </row>
    <row r="50" spans="1:16" ht="37.5" customHeight="1" x14ac:dyDescent="0.2">
      <c r="A50" s="3">
        <v>402</v>
      </c>
      <c r="B50" s="4" t="s">
        <v>261</v>
      </c>
      <c r="C50" s="5">
        <v>530</v>
      </c>
      <c r="D50" s="6" t="s">
        <v>14</v>
      </c>
      <c r="E50" s="5" t="s">
        <v>266</v>
      </c>
      <c r="F50" s="32" t="s">
        <v>15</v>
      </c>
      <c r="G50" s="28">
        <v>271001</v>
      </c>
      <c r="H50" s="25" t="s">
        <v>372</v>
      </c>
      <c r="I50" s="26">
        <v>0</v>
      </c>
      <c r="J50" s="26">
        <v>23771</v>
      </c>
      <c r="K50" s="26">
        <v>0</v>
      </c>
      <c r="L50" s="26">
        <v>0</v>
      </c>
      <c r="M50" s="27">
        <f>SUM(Tabla117[[#This Row],[TRIMESTRE  I]:[TRIMESTRE IV]])</f>
        <v>23771</v>
      </c>
      <c r="N50" s="33" t="s">
        <v>30</v>
      </c>
      <c r="O50" s="62">
        <v>45717</v>
      </c>
      <c r="P50" s="28" t="s">
        <v>275</v>
      </c>
    </row>
    <row r="51" spans="1:16" ht="37.5" customHeight="1" x14ac:dyDescent="0.2">
      <c r="A51" s="3">
        <v>419</v>
      </c>
      <c r="B51" s="4" t="s">
        <v>267</v>
      </c>
      <c r="C51" s="5">
        <v>530</v>
      </c>
      <c r="D51" s="6" t="s">
        <v>14</v>
      </c>
      <c r="E51" s="5" t="s">
        <v>268</v>
      </c>
      <c r="F51" s="32" t="s">
        <v>15</v>
      </c>
      <c r="G51" s="28">
        <v>271001</v>
      </c>
      <c r="H51" s="25" t="s">
        <v>372</v>
      </c>
      <c r="I51" s="26">
        <v>0</v>
      </c>
      <c r="J51" s="26">
        <v>15035</v>
      </c>
      <c r="K51" s="26">
        <v>0</v>
      </c>
      <c r="L51" s="26">
        <v>0</v>
      </c>
      <c r="M51" s="27">
        <f>SUM(Tabla117[[#This Row],[TRIMESTRE  I]:[TRIMESTRE IV]])</f>
        <v>15035</v>
      </c>
      <c r="N51" s="33" t="s">
        <v>30</v>
      </c>
      <c r="O51" s="62">
        <v>45717</v>
      </c>
      <c r="P51" s="28" t="s">
        <v>275</v>
      </c>
    </row>
    <row r="52" spans="1:16" ht="37.5" customHeight="1" x14ac:dyDescent="0.2">
      <c r="A52" s="3">
        <v>435</v>
      </c>
      <c r="B52" s="4" t="s">
        <v>261</v>
      </c>
      <c r="C52" s="5">
        <v>530</v>
      </c>
      <c r="D52" s="6" t="s">
        <v>14</v>
      </c>
      <c r="E52" s="5" t="s">
        <v>277</v>
      </c>
      <c r="F52" s="32" t="s">
        <v>15</v>
      </c>
      <c r="G52" s="28">
        <v>271001</v>
      </c>
      <c r="H52" s="25" t="s">
        <v>372</v>
      </c>
      <c r="I52" s="26">
        <v>0</v>
      </c>
      <c r="J52" s="26">
        <v>10940</v>
      </c>
      <c r="K52" s="26">
        <v>0</v>
      </c>
      <c r="L52" s="26">
        <v>0</v>
      </c>
      <c r="M52" s="27">
        <f>SUM(Tabla117[[#This Row],[TRIMESTRE  I]:[TRIMESTRE IV]])</f>
        <v>10940</v>
      </c>
      <c r="N52" s="33" t="s">
        <v>30</v>
      </c>
      <c r="O52" s="62">
        <v>45717</v>
      </c>
      <c r="P52" s="28" t="s">
        <v>275</v>
      </c>
    </row>
    <row r="53" spans="1:16" ht="37.5" customHeight="1" x14ac:dyDescent="0.2">
      <c r="A53" s="3">
        <v>419</v>
      </c>
      <c r="B53" s="4" t="s">
        <v>267</v>
      </c>
      <c r="C53" s="5">
        <v>530</v>
      </c>
      <c r="D53" s="6" t="s">
        <v>14</v>
      </c>
      <c r="E53" s="5" t="s">
        <v>268</v>
      </c>
      <c r="F53" s="7" t="s">
        <v>22</v>
      </c>
      <c r="G53" s="8">
        <v>322001</v>
      </c>
      <c r="H53" s="9" t="s">
        <v>23</v>
      </c>
      <c r="I53" s="26">
        <v>75000</v>
      </c>
      <c r="J53" s="26">
        <v>75000</v>
      </c>
      <c r="K53" s="26">
        <v>75000</v>
      </c>
      <c r="L53" s="26">
        <v>75000</v>
      </c>
      <c r="M53" s="27">
        <f>SUM(Tabla117[[#This Row],[TRIMESTRE  I]:[TRIMESTRE IV]])</f>
        <v>300000</v>
      </c>
      <c r="N53" s="33" t="s">
        <v>17</v>
      </c>
      <c r="O53" s="12" t="s">
        <v>49</v>
      </c>
      <c r="P53" s="28" t="s">
        <v>61</v>
      </c>
    </row>
    <row r="54" spans="1:16" ht="37.5" customHeight="1" x14ac:dyDescent="0.2">
      <c r="A54" s="3">
        <v>434</v>
      </c>
      <c r="B54" s="4" t="s">
        <v>269</v>
      </c>
      <c r="C54" s="5">
        <v>530</v>
      </c>
      <c r="D54" s="6" t="s">
        <v>14</v>
      </c>
      <c r="E54" s="5" t="s">
        <v>270</v>
      </c>
      <c r="F54" s="7" t="s">
        <v>22</v>
      </c>
      <c r="G54" s="8">
        <v>322001</v>
      </c>
      <c r="H54" s="9" t="s">
        <v>23</v>
      </c>
      <c r="I54" s="26">
        <v>84000</v>
      </c>
      <c r="J54" s="26">
        <v>84000</v>
      </c>
      <c r="K54" s="26">
        <v>84000</v>
      </c>
      <c r="L54" s="26">
        <v>84000</v>
      </c>
      <c r="M54" s="27">
        <f>SUM(Tabla117[[#This Row],[TRIMESTRE  I]:[TRIMESTRE IV]])</f>
        <v>336000</v>
      </c>
      <c r="N54" s="33" t="s">
        <v>17</v>
      </c>
      <c r="O54" s="12" t="s">
        <v>49</v>
      </c>
      <c r="P54" s="28" t="s">
        <v>61</v>
      </c>
    </row>
    <row r="55" spans="1:16" ht="37.5" customHeight="1" x14ac:dyDescent="0.2">
      <c r="A55" s="3">
        <v>401</v>
      </c>
      <c r="B55" s="4" t="s">
        <v>261</v>
      </c>
      <c r="C55" s="5">
        <v>530</v>
      </c>
      <c r="D55" s="6" t="s">
        <v>14</v>
      </c>
      <c r="E55" s="5" t="s">
        <v>272</v>
      </c>
      <c r="F55" s="7" t="s">
        <v>22</v>
      </c>
      <c r="G55" s="8">
        <v>323001</v>
      </c>
      <c r="H55" s="9" t="s">
        <v>374</v>
      </c>
      <c r="I55" s="26">
        <v>47820</v>
      </c>
      <c r="J55" s="26">
        <v>44000</v>
      </c>
      <c r="K55" s="26">
        <v>43204</v>
      </c>
      <c r="L55" s="26">
        <v>43200</v>
      </c>
      <c r="M55" s="27">
        <f>SUM(Tabla117[[#This Row],[TRIMESTRE  I]:[TRIMESTRE IV]])</f>
        <v>178224</v>
      </c>
      <c r="N55" s="33" t="s">
        <v>30</v>
      </c>
      <c r="O55" s="12" t="s">
        <v>49</v>
      </c>
      <c r="P55" s="28" t="s">
        <v>275</v>
      </c>
    </row>
    <row r="56" spans="1:16" ht="37.5" customHeight="1" x14ac:dyDescent="0.2">
      <c r="A56" s="3">
        <v>401</v>
      </c>
      <c r="B56" s="4" t="s">
        <v>261</v>
      </c>
      <c r="C56" s="5">
        <v>530</v>
      </c>
      <c r="D56" s="6" t="s">
        <v>14</v>
      </c>
      <c r="E56" s="5" t="s">
        <v>262</v>
      </c>
      <c r="F56" s="32" t="s">
        <v>22</v>
      </c>
      <c r="G56" s="28">
        <v>345001</v>
      </c>
      <c r="H56" s="25" t="s">
        <v>47</v>
      </c>
      <c r="I56" s="26">
        <v>56000</v>
      </c>
      <c r="J56" s="26">
        <v>0</v>
      </c>
      <c r="K56" s="26">
        <v>0</v>
      </c>
      <c r="L56" s="26">
        <v>0</v>
      </c>
      <c r="M56" s="27">
        <f>SUM(Tabla117[[#This Row],[TRIMESTRE  I]:[TRIMESTRE IV]])</f>
        <v>56000</v>
      </c>
      <c r="N56" s="33" t="s">
        <v>30</v>
      </c>
      <c r="O56" s="12" t="s">
        <v>49</v>
      </c>
      <c r="P56" s="28" t="s">
        <v>275</v>
      </c>
    </row>
    <row r="57" spans="1:16" ht="37.5" customHeight="1" x14ac:dyDescent="0.2">
      <c r="A57" s="3">
        <v>401</v>
      </c>
      <c r="B57" s="4" t="s">
        <v>261</v>
      </c>
      <c r="C57" s="5">
        <v>530</v>
      </c>
      <c r="D57" s="6" t="s">
        <v>14</v>
      </c>
      <c r="E57" s="5" t="s">
        <v>263</v>
      </c>
      <c r="F57" s="32" t="s">
        <v>22</v>
      </c>
      <c r="G57" s="28">
        <v>345001</v>
      </c>
      <c r="H57" s="25" t="s">
        <v>47</v>
      </c>
      <c r="I57" s="26">
        <v>19000</v>
      </c>
      <c r="J57" s="26">
        <v>0</v>
      </c>
      <c r="K57" s="26">
        <v>0</v>
      </c>
      <c r="L57" s="26">
        <v>0</v>
      </c>
      <c r="M57" s="27">
        <f>SUM(Tabla117[[#This Row],[TRIMESTRE  I]:[TRIMESTRE IV]])</f>
        <v>19000</v>
      </c>
      <c r="N57" s="33" t="s">
        <v>30</v>
      </c>
      <c r="O57" s="12" t="s">
        <v>49</v>
      </c>
      <c r="P57" s="28" t="s">
        <v>275</v>
      </c>
    </row>
    <row r="58" spans="1:16" ht="37.5" customHeight="1" x14ac:dyDescent="0.2">
      <c r="A58" s="3">
        <v>402</v>
      </c>
      <c r="B58" s="4" t="s">
        <v>261</v>
      </c>
      <c r="C58" s="5">
        <v>530</v>
      </c>
      <c r="D58" s="6" t="s">
        <v>14</v>
      </c>
      <c r="E58" s="5" t="s">
        <v>273</v>
      </c>
      <c r="F58" s="32" t="s">
        <v>22</v>
      </c>
      <c r="G58" s="28">
        <v>345001</v>
      </c>
      <c r="H58" s="25" t="s">
        <v>47</v>
      </c>
      <c r="I58" s="26">
        <v>18830</v>
      </c>
      <c r="J58" s="26">
        <v>0</v>
      </c>
      <c r="K58" s="26">
        <v>0</v>
      </c>
      <c r="L58" s="26">
        <v>0</v>
      </c>
      <c r="M58" s="27">
        <f>SUM(Tabla117[[#This Row],[TRIMESTRE  I]:[TRIMESTRE IV]])</f>
        <v>18830</v>
      </c>
      <c r="N58" s="33" t="s">
        <v>30</v>
      </c>
      <c r="O58" s="12" t="s">
        <v>49</v>
      </c>
      <c r="P58" s="28" t="s">
        <v>275</v>
      </c>
    </row>
    <row r="59" spans="1:16" ht="37.5" customHeight="1" x14ac:dyDescent="0.2">
      <c r="A59" s="3">
        <v>419</v>
      </c>
      <c r="B59" s="4" t="s">
        <v>267</v>
      </c>
      <c r="C59" s="5">
        <v>530</v>
      </c>
      <c r="D59" s="6" t="s">
        <v>14</v>
      </c>
      <c r="E59" s="5" t="s">
        <v>268</v>
      </c>
      <c r="F59" s="32" t="s">
        <v>22</v>
      </c>
      <c r="G59" s="28">
        <v>345001</v>
      </c>
      <c r="H59" s="25" t="s">
        <v>47</v>
      </c>
      <c r="I59" s="26">
        <v>12681</v>
      </c>
      <c r="J59" s="26">
        <v>0</v>
      </c>
      <c r="K59" s="26">
        <v>0</v>
      </c>
      <c r="L59" s="26">
        <v>0</v>
      </c>
      <c r="M59" s="27">
        <f>SUM(Tabla117[[#This Row],[TRIMESTRE  I]:[TRIMESTRE IV]])</f>
        <v>12681</v>
      </c>
      <c r="N59" s="33" t="s">
        <v>30</v>
      </c>
      <c r="O59" s="12" t="s">
        <v>49</v>
      </c>
      <c r="P59" s="28" t="s">
        <v>275</v>
      </c>
    </row>
    <row r="60" spans="1:16" ht="37.5" customHeight="1" x14ac:dyDescent="0.2">
      <c r="A60" s="3">
        <v>434</v>
      </c>
      <c r="B60" s="4" t="s">
        <v>269</v>
      </c>
      <c r="C60" s="5">
        <v>530</v>
      </c>
      <c r="D60" s="6" t="s">
        <v>14</v>
      </c>
      <c r="E60" s="5" t="s">
        <v>270</v>
      </c>
      <c r="F60" s="32" t="s">
        <v>22</v>
      </c>
      <c r="G60" s="28">
        <v>345001</v>
      </c>
      <c r="H60" s="25" t="s">
        <v>47</v>
      </c>
      <c r="I60" s="26">
        <v>52215</v>
      </c>
      <c r="J60" s="26">
        <v>0</v>
      </c>
      <c r="K60" s="26">
        <v>0</v>
      </c>
      <c r="L60" s="26">
        <v>0</v>
      </c>
      <c r="M60" s="27">
        <f>SUM(Tabla117[[#This Row],[TRIMESTRE  I]:[TRIMESTRE IV]])</f>
        <v>52215</v>
      </c>
      <c r="N60" s="33" t="s">
        <v>30</v>
      </c>
      <c r="O60" s="12" t="s">
        <v>49</v>
      </c>
      <c r="P60" s="28" t="s">
        <v>275</v>
      </c>
    </row>
    <row r="61" spans="1:16" ht="37.5" customHeight="1" x14ac:dyDescent="0.2">
      <c r="A61" s="3">
        <v>435</v>
      </c>
      <c r="B61" s="4" t="s">
        <v>261</v>
      </c>
      <c r="C61" s="5">
        <v>530</v>
      </c>
      <c r="D61" s="6" t="s">
        <v>14</v>
      </c>
      <c r="E61" s="5" t="s">
        <v>271</v>
      </c>
      <c r="F61" s="32" t="s">
        <v>22</v>
      </c>
      <c r="G61" s="28">
        <v>345001</v>
      </c>
      <c r="H61" s="25" t="s">
        <v>47</v>
      </c>
      <c r="I61" s="26">
        <v>18000</v>
      </c>
      <c r="J61" s="26">
        <v>0</v>
      </c>
      <c r="K61" s="26">
        <v>0</v>
      </c>
      <c r="L61" s="26">
        <v>0</v>
      </c>
      <c r="M61" s="27">
        <f>SUM(Tabla117[[#This Row],[TRIMESTRE  I]:[TRIMESTRE IV]])</f>
        <v>18000</v>
      </c>
      <c r="N61" s="33" t="s">
        <v>30</v>
      </c>
      <c r="O61" s="12" t="s">
        <v>49</v>
      </c>
      <c r="P61" s="28" t="s">
        <v>275</v>
      </c>
    </row>
    <row r="62" spans="1:16" ht="37.5" customHeight="1" x14ac:dyDescent="0.2">
      <c r="A62" s="3">
        <v>401</v>
      </c>
      <c r="B62" s="4" t="s">
        <v>261</v>
      </c>
      <c r="C62" s="5">
        <v>530</v>
      </c>
      <c r="D62" s="6" t="s">
        <v>14</v>
      </c>
      <c r="E62" s="5" t="s">
        <v>262</v>
      </c>
      <c r="F62" s="32" t="s">
        <v>22</v>
      </c>
      <c r="G62" s="28">
        <v>351001</v>
      </c>
      <c r="H62" s="25" t="s">
        <v>279</v>
      </c>
      <c r="I62" s="26">
        <v>0</v>
      </c>
      <c r="J62" s="26">
        <v>0</v>
      </c>
      <c r="K62" s="26">
        <v>42035</v>
      </c>
      <c r="L62" s="26"/>
      <c r="M62" s="27">
        <v>42035</v>
      </c>
      <c r="N62" s="33" t="s">
        <v>19</v>
      </c>
      <c r="O62" s="63" t="s">
        <v>280</v>
      </c>
      <c r="P62" s="8" t="s">
        <v>256</v>
      </c>
    </row>
    <row r="63" spans="1:16" ht="37.5" customHeight="1" x14ac:dyDescent="0.2">
      <c r="A63" s="3">
        <v>401</v>
      </c>
      <c r="B63" s="4" t="s">
        <v>261</v>
      </c>
      <c r="C63" s="5">
        <v>530</v>
      </c>
      <c r="D63" s="6" t="s">
        <v>14</v>
      </c>
      <c r="E63" s="5" t="s">
        <v>263</v>
      </c>
      <c r="F63" s="32" t="s">
        <v>22</v>
      </c>
      <c r="G63" s="28">
        <v>351001</v>
      </c>
      <c r="H63" s="25" t="s">
        <v>279</v>
      </c>
      <c r="I63" s="26">
        <v>0</v>
      </c>
      <c r="J63" s="26">
        <v>45000</v>
      </c>
      <c r="K63" s="26">
        <v>0</v>
      </c>
      <c r="L63" s="26">
        <v>0</v>
      </c>
      <c r="M63" s="27">
        <v>45000</v>
      </c>
      <c r="N63" s="33" t="s">
        <v>19</v>
      </c>
      <c r="O63" s="63" t="s">
        <v>280</v>
      </c>
      <c r="P63" s="8" t="s">
        <v>256</v>
      </c>
    </row>
    <row r="64" spans="1:16" ht="37.5" customHeight="1" x14ac:dyDescent="0.2">
      <c r="A64" s="3">
        <v>402</v>
      </c>
      <c r="B64" s="4" t="s">
        <v>261</v>
      </c>
      <c r="C64" s="5">
        <v>530</v>
      </c>
      <c r="D64" s="6" t="s">
        <v>14</v>
      </c>
      <c r="E64" s="5" t="s">
        <v>264</v>
      </c>
      <c r="F64" s="32" t="s">
        <v>22</v>
      </c>
      <c r="G64" s="28">
        <v>351001</v>
      </c>
      <c r="H64" s="25" t="s">
        <v>279</v>
      </c>
      <c r="I64" s="26">
        <v>0</v>
      </c>
      <c r="J64" s="26"/>
      <c r="K64" s="26">
        <v>0</v>
      </c>
      <c r="L64" s="26">
        <v>45000</v>
      </c>
      <c r="M64" s="27">
        <v>45000</v>
      </c>
      <c r="N64" s="33" t="s">
        <v>19</v>
      </c>
      <c r="O64" s="63" t="s">
        <v>280</v>
      </c>
      <c r="P64" s="8" t="s">
        <v>256</v>
      </c>
    </row>
    <row r="65" spans="1:16" ht="37.5" customHeight="1" x14ac:dyDescent="0.2">
      <c r="A65" s="3">
        <v>402</v>
      </c>
      <c r="B65" s="4" t="s">
        <v>261</v>
      </c>
      <c r="C65" s="5">
        <v>530</v>
      </c>
      <c r="D65" s="6" t="s">
        <v>14</v>
      </c>
      <c r="E65" s="5" t="s">
        <v>265</v>
      </c>
      <c r="F65" s="32" t="s">
        <v>22</v>
      </c>
      <c r="G65" s="28">
        <v>351001</v>
      </c>
      <c r="H65" s="25" t="s">
        <v>279</v>
      </c>
      <c r="I65" s="26">
        <v>0</v>
      </c>
      <c r="J65" s="26">
        <v>0</v>
      </c>
      <c r="K65" s="26">
        <v>0</v>
      </c>
      <c r="L65" s="26">
        <v>45000</v>
      </c>
      <c r="M65" s="27">
        <v>45000</v>
      </c>
      <c r="N65" s="33" t="s">
        <v>19</v>
      </c>
      <c r="O65" s="63" t="s">
        <v>281</v>
      </c>
      <c r="P65" s="8" t="s">
        <v>256</v>
      </c>
    </row>
    <row r="66" spans="1:16" ht="37.5" customHeight="1" x14ac:dyDescent="0.2">
      <c r="A66" s="3">
        <v>402</v>
      </c>
      <c r="B66" s="4" t="s">
        <v>261</v>
      </c>
      <c r="C66" s="5">
        <v>530</v>
      </c>
      <c r="D66" s="6" t="s">
        <v>14</v>
      </c>
      <c r="E66" s="5" t="s">
        <v>266</v>
      </c>
      <c r="F66" s="32" t="s">
        <v>22</v>
      </c>
      <c r="G66" s="28">
        <v>351001</v>
      </c>
      <c r="H66" s="25" t="s">
        <v>279</v>
      </c>
      <c r="I66" s="26">
        <v>0</v>
      </c>
      <c r="J66" s="26">
        <v>0</v>
      </c>
      <c r="K66" s="26">
        <v>45000</v>
      </c>
      <c r="L66" s="26">
        <v>0</v>
      </c>
      <c r="M66" s="27">
        <v>45000</v>
      </c>
      <c r="N66" s="33" t="s">
        <v>19</v>
      </c>
      <c r="O66" s="63" t="s">
        <v>281</v>
      </c>
      <c r="P66" s="8" t="s">
        <v>256</v>
      </c>
    </row>
    <row r="67" spans="1:16" ht="37.5" customHeight="1" x14ac:dyDescent="0.2">
      <c r="A67" s="3">
        <v>419</v>
      </c>
      <c r="B67" s="4" t="s">
        <v>267</v>
      </c>
      <c r="C67" s="5">
        <v>530</v>
      </c>
      <c r="D67" s="6" t="s">
        <v>14</v>
      </c>
      <c r="E67" s="5" t="s">
        <v>268</v>
      </c>
      <c r="F67" s="32" t="s">
        <v>22</v>
      </c>
      <c r="G67" s="28">
        <v>351001</v>
      </c>
      <c r="H67" s="25" t="s">
        <v>279</v>
      </c>
      <c r="I67" s="26">
        <v>0</v>
      </c>
      <c r="J67" s="26">
        <v>0</v>
      </c>
      <c r="K67" s="26">
        <v>45000</v>
      </c>
      <c r="L67" s="26">
        <v>0</v>
      </c>
      <c r="M67" s="27">
        <v>45000</v>
      </c>
      <c r="N67" s="33" t="s">
        <v>19</v>
      </c>
      <c r="O67" s="63" t="s">
        <v>281</v>
      </c>
      <c r="P67" s="8" t="s">
        <v>256</v>
      </c>
    </row>
    <row r="68" spans="1:16" ht="37.5" customHeight="1" x14ac:dyDescent="0.2">
      <c r="A68" s="3">
        <v>434</v>
      </c>
      <c r="B68" s="4" t="s">
        <v>269</v>
      </c>
      <c r="C68" s="5">
        <v>530</v>
      </c>
      <c r="D68" s="6" t="s">
        <v>14</v>
      </c>
      <c r="E68" s="5" t="s">
        <v>270</v>
      </c>
      <c r="F68" s="32" t="s">
        <v>22</v>
      </c>
      <c r="G68" s="28">
        <v>351001</v>
      </c>
      <c r="H68" s="25" t="s">
        <v>279</v>
      </c>
      <c r="I68" s="26">
        <v>0</v>
      </c>
      <c r="J68" s="26">
        <v>0</v>
      </c>
      <c r="K68" s="26">
        <v>0</v>
      </c>
      <c r="L68" s="26">
        <v>0</v>
      </c>
      <c r="M68" s="27">
        <v>45000</v>
      </c>
      <c r="N68" s="33" t="s">
        <v>19</v>
      </c>
      <c r="O68" s="63" t="s">
        <v>281</v>
      </c>
      <c r="P68" s="8" t="s">
        <v>256</v>
      </c>
    </row>
    <row r="69" spans="1:16" ht="37.5" customHeight="1" x14ac:dyDescent="0.2">
      <c r="A69" s="3">
        <v>435</v>
      </c>
      <c r="B69" s="4" t="s">
        <v>261</v>
      </c>
      <c r="C69" s="5">
        <v>530</v>
      </c>
      <c r="D69" s="6" t="s">
        <v>14</v>
      </c>
      <c r="E69" s="5" t="s">
        <v>271</v>
      </c>
      <c r="F69" s="32" t="s">
        <v>22</v>
      </c>
      <c r="G69" s="28">
        <v>351001</v>
      </c>
      <c r="H69" s="25" t="s">
        <v>279</v>
      </c>
      <c r="I69" s="26">
        <v>0</v>
      </c>
      <c r="J69" s="26">
        <v>0</v>
      </c>
      <c r="K69" s="26">
        <v>18279</v>
      </c>
      <c r="L69" s="26">
        <v>0</v>
      </c>
      <c r="M69" s="27">
        <v>45000</v>
      </c>
      <c r="N69" s="33" t="s">
        <v>19</v>
      </c>
      <c r="O69" s="63" t="s">
        <v>281</v>
      </c>
      <c r="P69" s="8" t="s">
        <v>256</v>
      </c>
    </row>
    <row r="70" spans="1:16" ht="37.5" customHeight="1" x14ac:dyDescent="0.2">
      <c r="A70" s="3">
        <v>401</v>
      </c>
      <c r="B70" s="4" t="s">
        <v>261</v>
      </c>
      <c r="C70" s="5">
        <v>530</v>
      </c>
      <c r="D70" s="6" t="s">
        <v>14</v>
      </c>
      <c r="E70" s="5" t="s">
        <v>262</v>
      </c>
      <c r="F70" s="7" t="s">
        <v>22</v>
      </c>
      <c r="G70" s="28">
        <v>371001</v>
      </c>
      <c r="H70" s="25" t="s">
        <v>31</v>
      </c>
      <c r="I70" s="26">
        <v>34000</v>
      </c>
      <c r="J70" s="26">
        <v>34000</v>
      </c>
      <c r="K70" s="26">
        <v>34000</v>
      </c>
      <c r="L70" s="26">
        <v>34000</v>
      </c>
      <c r="M70" s="27">
        <f>SUM(Tabla117[[#This Row],[TRIMESTRE  I]:[TRIMESTRE IV]])</f>
        <v>136000</v>
      </c>
      <c r="N70" s="33" t="s">
        <v>17</v>
      </c>
      <c r="O70" s="33" t="s">
        <v>71</v>
      </c>
      <c r="P70" s="28" t="s">
        <v>61</v>
      </c>
    </row>
    <row r="71" spans="1:16" ht="37.5" customHeight="1" x14ac:dyDescent="0.2">
      <c r="A71" s="3">
        <v>402</v>
      </c>
      <c r="B71" s="4" t="s">
        <v>261</v>
      </c>
      <c r="C71" s="5">
        <v>530</v>
      </c>
      <c r="D71" s="6" t="s">
        <v>14</v>
      </c>
      <c r="E71" s="5" t="s">
        <v>264</v>
      </c>
      <c r="F71" s="7" t="s">
        <v>22</v>
      </c>
      <c r="G71" s="28">
        <v>371001</v>
      </c>
      <c r="H71" s="25" t="s">
        <v>31</v>
      </c>
      <c r="I71" s="26">
        <v>16000</v>
      </c>
      <c r="J71" s="26">
        <v>16000</v>
      </c>
      <c r="K71" s="26">
        <v>18967</v>
      </c>
      <c r="L71" s="26">
        <v>15000</v>
      </c>
      <c r="M71" s="27">
        <f>SUM(Tabla117[[#This Row],[TRIMESTRE  I]:[TRIMESTRE IV]])</f>
        <v>65967</v>
      </c>
      <c r="N71" s="33" t="s">
        <v>17</v>
      </c>
      <c r="O71" s="33" t="s">
        <v>71</v>
      </c>
      <c r="P71" s="28" t="s">
        <v>61</v>
      </c>
    </row>
    <row r="72" spans="1:16" ht="37.5" customHeight="1" x14ac:dyDescent="0.2">
      <c r="A72" s="3">
        <v>402</v>
      </c>
      <c r="B72" s="4" t="s">
        <v>261</v>
      </c>
      <c r="C72" s="5">
        <v>530</v>
      </c>
      <c r="D72" s="6" t="s">
        <v>14</v>
      </c>
      <c r="E72" s="5" t="s">
        <v>266</v>
      </c>
      <c r="F72" s="7" t="s">
        <v>22</v>
      </c>
      <c r="G72" s="28">
        <v>371001</v>
      </c>
      <c r="H72" s="25" t="s">
        <v>31</v>
      </c>
      <c r="I72" s="26">
        <v>0</v>
      </c>
      <c r="J72" s="26">
        <v>6358</v>
      </c>
      <c r="K72" s="26">
        <v>0</v>
      </c>
      <c r="L72" s="26">
        <v>0</v>
      </c>
      <c r="M72" s="27">
        <f>SUM(Tabla117[[#This Row],[TRIMESTRE  I]:[TRIMESTRE IV]])</f>
        <v>6358</v>
      </c>
      <c r="N72" s="33" t="s">
        <v>17</v>
      </c>
      <c r="O72" s="33" t="s">
        <v>71</v>
      </c>
      <c r="P72" s="28" t="s">
        <v>61</v>
      </c>
    </row>
    <row r="73" spans="1:16" ht="37.5" customHeight="1" x14ac:dyDescent="0.2">
      <c r="A73" s="3">
        <v>434</v>
      </c>
      <c r="B73" s="4" t="s">
        <v>269</v>
      </c>
      <c r="C73" s="5">
        <v>530</v>
      </c>
      <c r="D73" s="6" t="s">
        <v>14</v>
      </c>
      <c r="E73" s="5" t="s">
        <v>270</v>
      </c>
      <c r="F73" s="7" t="s">
        <v>22</v>
      </c>
      <c r="G73" s="28">
        <v>371001</v>
      </c>
      <c r="H73" s="25" t="s">
        <v>31</v>
      </c>
      <c r="I73" s="26">
        <v>0</v>
      </c>
      <c r="J73" s="26">
        <v>6848</v>
      </c>
      <c r="K73" s="26">
        <v>0</v>
      </c>
      <c r="L73" s="26">
        <v>0</v>
      </c>
      <c r="M73" s="27">
        <f>SUM(Tabla117[[#This Row],[TRIMESTRE  I]:[TRIMESTRE IV]])</f>
        <v>6848</v>
      </c>
      <c r="N73" s="33" t="s">
        <v>17</v>
      </c>
      <c r="O73" s="33" t="s">
        <v>71</v>
      </c>
      <c r="P73" s="28" t="s">
        <v>61</v>
      </c>
    </row>
    <row r="74" spans="1:16" ht="37.5" customHeight="1" x14ac:dyDescent="0.2">
      <c r="A74" s="3">
        <v>435</v>
      </c>
      <c r="B74" s="4" t="s">
        <v>261</v>
      </c>
      <c r="C74" s="5">
        <v>530</v>
      </c>
      <c r="D74" s="6" t="s">
        <v>14</v>
      </c>
      <c r="E74" s="5" t="s">
        <v>271</v>
      </c>
      <c r="F74" s="7" t="s">
        <v>22</v>
      </c>
      <c r="G74" s="28">
        <v>371001</v>
      </c>
      <c r="H74" s="25" t="s">
        <v>31</v>
      </c>
      <c r="I74" s="26">
        <v>0</v>
      </c>
      <c r="J74" s="26">
        <v>18958</v>
      </c>
      <c r="K74" s="26">
        <v>15000</v>
      </c>
      <c r="L74" s="26">
        <v>0</v>
      </c>
      <c r="M74" s="27">
        <f>SUM(Tabla117[[#This Row],[TRIMESTRE  I]:[TRIMESTRE IV]])</f>
        <v>33958</v>
      </c>
      <c r="N74" s="33" t="s">
        <v>17</v>
      </c>
      <c r="O74" s="33" t="s">
        <v>71</v>
      </c>
      <c r="P74" s="28" t="s">
        <v>61</v>
      </c>
    </row>
    <row r="75" spans="1:16" ht="37.5" customHeight="1" x14ac:dyDescent="0.2">
      <c r="A75" s="3">
        <v>401</v>
      </c>
      <c r="B75" s="4" t="s">
        <v>261</v>
      </c>
      <c r="C75" s="5">
        <v>530</v>
      </c>
      <c r="D75" s="6" t="s">
        <v>14</v>
      </c>
      <c r="E75" s="5" t="s">
        <v>262</v>
      </c>
      <c r="F75" s="32" t="s">
        <v>22</v>
      </c>
      <c r="G75" s="28">
        <v>355001</v>
      </c>
      <c r="H75" s="25" t="s">
        <v>56</v>
      </c>
      <c r="I75" s="26"/>
      <c r="J75" s="26">
        <v>300000</v>
      </c>
      <c r="K75" s="26"/>
      <c r="L75" s="26"/>
      <c r="M75" s="27">
        <f>SUM(Tabla117[[#This Row],[TRIMESTRE  I]:[TRIMESTRE IV]])</f>
        <v>300000</v>
      </c>
      <c r="N75" s="33" t="s">
        <v>20</v>
      </c>
      <c r="O75" s="62">
        <v>45323</v>
      </c>
      <c r="P75" s="8" t="s">
        <v>278</v>
      </c>
    </row>
    <row r="76" spans="1:16" ht="37.5" customHeight="1" x14ac:dyDescent="0.2">
      <c r="A76" s="3">
        <v>401</v>
      </c>
      <c r="B76" s="4" t="s">
        <v>261</v>
      </c>
      <c r="C76" s="5">
        <v>530</v>
      </c>
      <c r="D76" s="6" t="s">
        <v>14</v>
      </c>
      <c r="E76" s="5" t="s">
        <v>263</v>
      </c>
      <c r="F76" s="32" t="s">
        <v>22</v>
      </c>
      <c r="G76" s="28">
        <v>355001</v>
      </c>
      <c r="H76" s="25" t="s">
        <v>56</v>
      </c>
      <c r="I76" s="26"/>
      <c r="J76" s="26">
        <v>200000</v>
      </c>
      <c r="K76" s="26"/>
      <c r="L76" s="26"/>
      <c r="M76" s="27">
        <f>SUM(Tabla117[[#This Row],[TRIMESTRE  I]:[TRIMESTRE IV]])</f>
        <v>200000</v>
      </c>
      <c r="N76" s="33" t="s">
        <v>20</v>
      </c>
      <c r="O76" s="62">
        <v>45323</v>
      </c>
      <c r="P76" s="8" t="s">
        <v>282</v>
      </c>
    </row>
    <row r="77" spans="1:16" ht="37.5" customHeight="1" x14ac:dyDescent="0.2">
      <c r="A77" s="3"/>
      <c r="B77" s="4"/>
      <c r="C77" s="5"/>
      <c r="D77" s="6"/>
      <c r="E77" s="5"/>
      <c r="F77" s="32"/>
      <c r="G77" s="28"/>
      <c r="H77" s="25"/>
      <c r="I77" s="26"/>
      <c r="J77" s="26"/>
      <c r="K77" s="26"/>
      <c r="L77" s="26"/>
      <c r="M77" s="27"/>
      <c r="N77" s="33"/>
      <c r="O77" s="62"/>
      <c r="P77" s="28"/>
    </row>
    <row r="78" spans="1:16" ht="37.5" customHeight="1" x14ac:dyDescent="0.2">
      <c r="A78" s="3"/>
      <c r="B78" s="4"/>
      <c r="C78" s="5"/>
      <c r="D78" s="6"/>
      <c r="E78" s="5"/>
      <c r="F78" s="32"/>
      <c r="G78" s="28"/>
      <c r="H78" s="25"/>
      <c r="I78" s="26"/>
      <c r="J78" s="26"/>
      <c r="K78" s="26"/>
      <c r="L78" s="26"/>
      <c r="M78" s="27"/>
      <c r="N78" s="33"/>
      <c r="O78" s="62"/>
      <c r="P78" s="28"/>
    </row>
    <row r="79" spans="1:16" ht="37.5" customHeight="1" x14ac:dyDescent="0.2">
      <c r="A79" s="3"/>
      <c r="B79" s="4"/>
      <c r="C79" s="5"/>
      <c r="D79" s="6"/>
      <c r="E79" s="5"/>
      <c r="F79" s="32"/>
      <c r="G79" s="28"/>
      <c r="H79" s="25"/>
      <c r="I79" s="26"/>
      <c r="J79" s="26"/>
      <c r="K79" s="26"/>
      <c r="L79" s="26"/>
      <c r="M79" s="27"/>
      <c r="N79" s="33"/>
      <c r="O79" s="62"/>
      <c r="P79" s="28"/>
    </row>
    <row r="80" spans="1:16" ht="37.5" customHeight="1" x14ac:dyDescent="0.2">
      <c r="A80" s="3"/>
      <c r="B80" s="4"/>
      <c r="C80" s="5"/>
      <c r="D80" s="6"/>
      <c r="E80" s="5"/>
      <c r="F80" s="7"/>
      <c r="G80" s="8"/>
      <c r="H80" s="9"/>
      <c r="I80" s="10"/>
      <c r="J80" s="10"/>
      <c r="K80" s="10"/>
      <c r="L80" s="10"/>
      <c r="M80" s="11"/>
      <c r="N80" s="12"/>
      <c r="O80" s="62"/>
      <c r="P80" s="8"/>
    </row>
    <row r="81" spans="1:16" ht="37.5" customHeight="1" thickBot="1" x14ac:dyDescent="0.25">
      <c r="A81" s="97"/>
      <c r="B81" s="98"/>
      <c r="C81" s="99"/>
      <c r="D81" s="100"/>
      <c r="E81" s="99"/>
      <c r="F81" s="99"/>
      <c r="G81" s="101"/>
      <c r="H81" s="102" t="s">
        <v>32</v>
      </c>
      <c r="I81" s="103"/>
      <c r="J81" s="103"/>
      <c r="K81" s="104"/>
      <c r="L81" s="103"/>
      <c r="M81" s="105">
        <f>SUBTOTAL(109,Tabla117[[PRESUPUESTO ANUAL AUTORIZADO ]])</f>
        <v>6409391</v>
      </c>
      <c r="N81" s="103"/>
      <c r="O81" s="103"/>
      <c r="P81" s="101"/>
    </row>
    <row r="82" spans="1:16" ht="37.5" customHeight="1" thickTop="1" x14ac:dyDescent="0.2"/>
    <row r="84" spans="1:16" ht="37.5" customHeight="1" x14ac:dyDescent="0.2">
      <c r="M84" s="29"/>
    </row>
  </sheetData>
  <protectedRanges>
    <protectedRange algorithmName="SHA-512" hashValue="CVDb5J/0TlFD03lqit9XaA7LbCMGvWLCsduA3v8dImZEGhWfzgZ6Dg6bkjbAbJm1bYAcMLcpovU/dJmuMze5jw==" saltValue="QZ4X9aU2cO4/tAPW6011Dw==" spinCount="100000" sqref="N5:P81" name="EDITABLE 4"/>
    <protectedRange algorithmName="SHA-512" hashValue="ytsoXFfC1+WmXVaa1/e6XfcZ7vPjNmSnuZe33NqN4NcqbRxNJdzSGuklMRpskJNPYNNz1yZQe585JE4aSLisOg==" saltValue="/jSLFmNX0mB2vn2qhSJbtw==" spinCount="100000" sqref="I5:L81" name="EDITABLE 3"/>
    <protectedRange algorithmName="SHA-512" hashValue="pJNw8ysPJcfMEDlzTgza0siiHuU4FkUpIzbuTX325DFaYD5nL5ng0z0JoIGpE+CYch2hq/LccMqSM51MpHojPQ==" saltValue="xv9nj4u85CXs/Kmy5tmlKw==" spinCount="100000" sqref="G27:G30 G70:G74 F56:G69 E81:G81 F75:G80" name="EDITABLE 2"/>
    <protectedRange algorithmName="SHA-512" hashValue="Lst7hsT/mUUQvFsOUalIdMZhSjExDj/C7u4r1gIjHREwBj16N7lqODQ0CY6n+RXalo774Zm4aYZKVBS0n4XIeg==" saltValue="KfnRR/cqfK967zBK52Zr6A==" spinCount="100000" sqref="A81:C81" name="EDITABLE 1"/>
    <protectedRange algorithmName="SHA-512" hashValue="pJNw8ysPJcfMEDlzTgza0siiHuU4FkUpIzbuTX325DFaYD5nL5ng0z0JoIGpE+CYch2hq/LccMqSM51MpHojPQ==" saltValue="xv9nj4u85CXs/Kmy5tmlKw==" spinCount="100000" sqref="E5:G5 E27:F27 E70:F70 E62 E56 E75 E41 E45:F45" name="EDITABLE 2_2_1"/>
    <protectedRange algorithmName="SHA-512" hashValue="Lst7hsT/mUUQvFsOUalIdMZhSjExDj/C7u4r1gIjHREwBj16N7lqODQ0CY6n+RXalo774Zm4aYZKVBS0n4XIeg==" saltValue="KfnRR/cqfK967zBK52Zr6A==" spinCount="100000" sqref="A5:C5 A27:C27 A70:C70 A62:C62 A56:C56 A75:C75 A41:C41" name="EDITABLE 1_2_1"/>
    <protectedRange algorithmName="SHA-512" hashValue="pJNw8ysPJcfMEDlzTgza0siiHuU4FkUpIzbuTX325DFaYD5nL5ng0z0JoIGpE+CYch2hq/LccMqSM51MpHojPQ==" saltValue="xv9nj4u85CXs/Kmy5tmlKw==" spinCount="100000" sqref="E6:G12 E28:F30 E31:G32 E71:F71 E63:E69 E57:E61 E76:E80 E42 E46:F47" name="EDITABLE 2_3_1"/>
    <protectedRange algorithmName="SHA-512" hashValue="Lst7hsT/mUUQvFsOUalIdMZhSjExDj/C7u4r1gIjHREwBj16N7lqODQ0CY6n+RXalo774Zm4aYZKVBS0n4XIeg==" saltValue="KfnRR/cqfK967zBK52Zr6A==" spinCount="100000" sqref="A6:C12 A28:C32 A71:C71 A57:C61 A63:C69 A76:C80 A42:C42" name="EDITABLE 1_3_1"/>
    <protectedRange algorithmName="SHA-512" hashValue="pJNw8ysPJcfMEDlzTgza0siiHuU4FkUpIzbuTX325DFaYD5nL5ng0z0JoIGpE+CYch2hq/LccMqSM51MpHojPQ==" saltValue="xv9nj4u85CXs/Kmy5tmlKw==" spinCount="100000" sqref="E20:G26 E72:F74" name="EDITABLE 2_4_1"/>
    <protectedRange algorithmName="SHA-512" hashValue="Lst7hsT/mUUQvFsOUalIdMZhSjExDj/C7u4r1gIjHREwBj16N7lqODQ0CY6n+RXalo774Zm4aYZKVBS0n4XIeg==" saltValue="KfnRR/cqfK967zBK52Zr6A==" spinCount="100000" sqref="A20:C26 A72:C74" name="EDITABLE 1_4_1"/>
    <protectedRange algorithmName="SHA-512" hashValue="pJNw8ysPJcfMEDlzTgza0siiHuU4FkUpIzbuTX325DFaYD5nL5ng0z0JoIGpE+CYch2hq/LccMqSM51MpHojPQ==" saltValue="xv9nj4u85CXs/Kmy5tmlKw==" spinCount="100000" sqref="E33:G40 F49:G49 E50:G52 F41:G42 E43:G44 G45:G47 E48:G48" name="EDITABLE 2_4_4"/>
    <protectedRange algorithmName="SHA-512" hashValue="Lst7hsT/mUUQvFsOUalIdMZhSjExDj/C7u4r1gIjHREwBj16N7lqODQ0CY6n+RXalo774Zm4aYZKVBS0n4XIeg==" saltValue="KfnRR/cqfK967zBK52Zr6A==" spinCount="100000" sqref="A33:C40 A50:C52 A43:C48" name="EDITABLE 1_4_4"/>
    <protectedRange algorithmName="SHA-512" hashValue="pJNw8ysPJcfMEDlzTgza0siiHuU4FkUpIzbuTX325DFaYD5nL5ng0z0JoIGpE+CYch2hq/LccMqSM51MpHojPQ==" saltValue="xv9nj4u85CXs/Kmy5tmlKw==" spinCount="100000" sqref="E53:G54" name="EDITABLE 2_4_5"/>
    <protectedRange algorithmName="SHA-512" hashValue="Lst7hsT/mUUQvFsOUalIdMZhSjExDj/C7u4r1gIjHREwBj16N7lqODQ0CY6n+RXalo774Zm4aYZKVBS0n4XIeg==" saltValue="KfnRR/cqfK967zBK52Zr6A==" spinCount="100000" sqref="A53:C54" name="EDITABLE 1_4_5"/>
    <protectedRange algorithmName="SHA-512" hashValue="pJNw8ysPJcfMEDlzTgza0siiHuU4FkUpIzbuTX325DFaYD5nL5ng0z0JoIGpE+CYch2hq/LccMqSM51MpHojPQ==" saltValue="xv9nj4u85CXs/Kmy5tmlKw==" spinCount="100000" sqref="E55:G55 E49" name="EDITABLE 2_4_6"/>
    <protectedRange algorithmName="SHA-512" hashValue="Lst7hsT/mUUQvFsOUalIdMZhSjExDj/C7u4r1gIjHREwBj16N7lqODQ0CY6n+RXalo774Zm4aYZKVBS0n4XIeg==" saltValue="KfnRR/cqfK967zBK52Zr6A==" spinCount="100000" sqref="A55:C55 A49:C49" name="EDITABLE 1_4_6"/>
  </protectedRanges>
  <mergeCells count="3">
    <mergeCell ref="A1:P1"/>
    <mergeCell ref="A2:P2"/>
    <mergeCell ref="A3:P3"/>
  </mergeCells>
  <dataValidations count="2">
    <dataValidation type="list" allowBlank="1" showInputMessage="1" showErrorMessage="1" sqref="G5:G80" xr:uid="{6688FDFB-BCA6-481F-AB78-6900BF0B28E7}">
      <formula1>INDIRECT(F5)</formula1>
    </dataValidation>
    <dataValidation type="list" allowBlank="1" showInputMessage="1" showErrorMessage="1" sqref="F5:F80" xr:uid="{004FB304-8798-40C8-A509-6CA7D61C834E}">
      <formula1>CAPITULOS</formula1>
    </dataValidation>
  </dataValidations>
  <pageMargins left="0.23622047244094491" right="0.23622047244094491" top="0.74803149606299213" bottom="0.74803149606299213" header="0.31496062992125984" footer="0.31496062992125984"/>
  <pageSetup paperSize="5" scale="65" fitToHeight="0" orientation="landscape" r:id="rId1"/>
  <rowBreaks count="1" manualBreakCount="1">
    <brk id="67" max="15" man="1"/>
  </rowBreaks>
  <drawing r:id="rId2"/>
  <tableParts count="1">
    <tablePart r:id="rId3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2583A7-6F4D-4C5D-981C-7D685F029111}">
  <sheetPr>
    <tabColor rgb="FF00B050"/>
    <pageSetUpPr fitToPage="1"/>
  </sheetPr>
  <dimension ref="A1:P52"/>
  <sheetViews>
    <sheetView topLeftCell="A16" workbookViewId="0">
      <selection activeCell="E19" sqref="E19"/>
    </sheetView>
  </sheetViews>
  <sheetFormatPr baseColWidth="10" defaultRowHeight="15" x14ac:dyDescent="0.25"/>
  <cols>
    <col min="1" max="1" width="13" customWidth="1"/>
    <col min="4" max="4" width="16.85546875" customWidth="1"/>
    <col min="5" max="5" width="21.42578125" customWidth="1"/>
    <col min="8" max="8" width="22.140625" customWidth="1"/>
    <col min="13" max="13" width="16.5703125" customWidth="1"/>
    <col min="14" max="14" width="19.5703125" customWidth="1"/>
    <col min="15" max="16" width="18" customWidth="1"/>
  </cols>
  <sheetData>
    <row r="1" spans="1:16" ht="23.25" x14ac:dyDescent="0.25">
      <c r="A1" s="115" t="s">
        <v>242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</row>
    <row r="2" spans="1:16" ht="23.25" x14ac:dyDescent="0.25">
      <c r="A2" s="116" t="s">
        <v>243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</row>
    <row r="3" spans="1:16" ht="23.25" x14ac:dyDescent="0.25">
      <c r="A3" s="117" t="s">
        <v>25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</row>
    <row r="4" spans="1:16" s="2" customFormat="1" ht="48" customHeight="1" x14ac:dyDescent="0.2">
      <c r="A4" s="72" t="s">
        <v>0</v>
      </c>
      <c r="B4" s="72" t="s">
        <v>1</v>
      </c>
      <c r="C4" s="72" t="s">
        <v>2</v>
      </c>
      <c r="D4" s="72" t="s">
        <v>3</v>
      </c>
      <c r="E4" s="72" t="s">
        <v>4</v>
      </c>
      <c r="F4" s="72" t="s">
        <v>5</v>
      </c>
      <c r="G4" s="72" t="s">
        <v>6</v>
      </c>
      <c r="H4" s="72" t="s">
        <v>7</v>
      </c>
      <c r="I4" s="72" t="s">
        <v>26</v>
      </c>
      <c r="J4" s="72" t="s">
        <v>8</v>
      </c>
      <c r="K4" s="72" t="s">
        <v>9</v>
      </c>
      <c r="L4" s="72" t="s">
        <v>10</v>
      </c>
      <c r="M4" s="72" t="s">
        <v>27</v>
      </c>
      <c r="N4" s="72" t="s">
        <v>11</v>
      </c>
      <c r="O4" s="72" t="s">
        <v>12</v>
      </c>
      <c r="P4" s="72" t="s">
        <v>13</v>
      </c>
    </row>
    <row r="5" spans="1:16" ht="38.25" x14ac:dyDescent="0.25">
      <c r="A5" s="3">
        <v>1118235</v>
      </c>
      <c r="B5" s="4" t="s">
        <v>244</v>
      </c>
      <c r="C5" s="5">
        <v>530</v>
      </c>
      <c r="D5" s="50" t="str">
        <f>IF(C5&lt;=0,"",VLOOKUP(C5,[9]FF!A:D,2,0))</f>
        <v>PARTICIPACIONES Ramo 28</v>
      </c>
      <c r="E5" s="5" t="s">
        <v>245</v>
      </c>
      <c r="F5" s="7" t="s">
        <v>15</v>
      </c>
      <c r="G5" s="8">
        <v>211001</v>
      </c>
      <c r="H5" s="51" t="str">
        <f>IF(G5&lt;=0,"",VLOOKUP(G5,[9]COG!A:H,2,0))</f>
        <v>Material de oficina</v>
      </c>
      <c r="I5" s="10">
        <v>4500</v>
      </c>
      <c r="J5" s="59">
        <v>4500</v>
      </c>
      <c r="K5" s="10">
        <v>4500</v>
      </c>
      <c r="L5" s="10">
        <v>4500</v>
      </c>
      <c r="M5" s="11">
        <f>SUM(Tabla116[[#This Row],[TRIMESTRE  I]:[TRIMESTRE IV]])</f>
        <v>18000</v>
      </c>
      <c r="N5" s="12" t="s">
        <v>17</v>
      </c>
      <c r="O5" s="13">
        <v>45658</v>
      </c>
      <c r="P5" s="8" t="s">
        <v>61</v>
      </c>
    </row>
    <row r="6" spans="1:16" ht="29.25" customHeight="1" x14ac:dyDescent="0.25">
      <c r="A6" s="3">
        <v>1119</v>
      </c>
      <c r="B6" s="4" t="s">
        <v>244</v>
      </c>
      <c r="C6" s="5">
        <v>530</v>
      </c>
      <c r="D6" s="50" t="str">
        <f>IF(C6&lt;=0,"",VLOOKUP(C6,[9]FF!A:D,2,0))</f>
        <v>PARTICIPACIONES Ramo 28</v>
      </c>
      <c r="E6" s="5" t="s">
        <v>246</v>
      </c>
      <c r="F6" s="7" t="s">
        <v>15</v>
      </c>
      <c r="G6" s="8">
        <v>211001</v>
      </c>
      <c r="H6" s="51" t="str">
        <f>IF(G6&lt;=0,"",VLOOKUP(G6,[9]COG!A:H,2,0))</f>
        <v>Material de oficina</v>
      </c>
      <c r="I6" s="10">
        <v>15000</v>
      </c>
      <c r="J6" s="10">
        <v>15000</v>
      </c>
      <c r="K6" s="10">
        <v>15000</v>
      </c>
      <c r="L6" s="10">
        <v>12751</v>
      </c>
      <c r="M6" s="11">
        <f>SUM(Tabla116[[#This Row],[TRIMESTRE  I]:[TRIMESTRE IV]])</f>
        <v>57751</v>
      </c>
      <c r="N6" s="12" t="s">
        <v>17</v>
      </c>
      <c r="O6" s="13">
        <v>45658</v>
      </c>
      <c r="P6" s="8" t="s">
        <v>61</v>
      </c>
    </row>
    <row r="7" spans="1:16" ht="25.5" x14ac:dyDescent="0.25">
      <c r="A7" s="3">
        <v>1120</v>
      </c>
      <c r="B7" s="34" t="s">
        <v>244</v>
      </c>
      <c r="C7" s="31">
        <v>530</v>
      </c>
      <c r="D7" s="50" t="str">
        <f>IF(C7&lt;=0,"",VLOOKUP(C7,[9]FF!A:D,2,0))</f>
        <v>PARTICIPACIONES Ramo 28</v>
      </c>
      <c r="E7" s="31" t="s">
        <v>247</v>
      </c>
      <c r="F7" s="32" t="s">
        <v>15</v>
      </c>
      <c r="G7" s="28">
        <v>211001</v>
      </c>
      <c r="H7" s="51" t="s">
        <v>248</v>
      </c>
      <c r="I7" s="26">
        <v>15000</v>
      </c>
      <c r="J7" s="26">
        <v>15000</v>
      </c>
      <c r="K7" s="26">
        <v>16492</v>
      </c>
      <c r="L7" s="26">
        <v>15000</v>
      </c>
      <c r="M7" s="11">
        <f>SUM(Tabla116[[#This Row],[TRIMESTRE  I]:[TRIMESTRE IV]])</f>
        <v>61492</v>
      </c>
      <c r="N7" s="33" t="s">
        <v>17</v>
      </c>
      <c r="O7" s="13">
        <v>45658</v>
      </c>
      <c r="P7" s="8" t="s">
        <v>61</v>
      </c>
    </row>
    <row r="8" spans="1:16" ht="38.25" x14ac:dyDescent="0.25">
      <c r="A8" s="3">
        <v>1121</v>
      </c>
      <c r="B8" s="34" t="s">
        <v>244</v>
      </c>
      <c r="C8" s="31">
        <v>530</v>
      </c>
      <c r="D8" s="50" t="str">
        <f>IF(C8&lt;=0,"",VLOOKUP(C8,[9]FF!A:D,2,0))</f>
        <v>PARTICIPACIONES Ramo 28</v>
      </c>
      <c r="E8" s="31" t="s">
        <v>249</v>
      </c>
      <c r="F8" s="32" t="s">
        <v>15</v>
      </c>
      <c r="G8" s="28">
        <v>211001</v>
      </c>
      <c r="H8" s="51" t="s">
        <v>182</v>
      </c>
      <c r="I8" s="26">
        <v>5500</v>
      </c>
      <c r="J8" s="26">
        <v>5500</v>
      </c>
      <c r="K8" s="26">
        <v>5500</v>
      </c>
      <c r="L8" s="26">
        <v>5500</v>
      </c>
      <c r="M8" s="11">
        <f>SUM(Tabla116[[#This Row],[TRIMESTRE  I]:[TRIMESTRE IV]])</f>
        <v>22000</v>
      </c>
      <c r="N8" s="33" t="s">
        <v>17</v>
      </c>
      <c r="O8" s="13">
        <v>45658</v>
      </c>
      <c r="P8" s="8" t="s">
        <v>61</v>
      </c>
    </row>
    <row r="9" spans="1:16" ht="38.25" x14ac:dyDescent="0.25">
      <c r="A9" s="3">
        <v>1118</v>
      </c>
      <c r="B9" s="34" t="s">
        <v>244</v>
      </c>
      <c r="C9" s="31">
        <v>530</v>
      </c>
      <c r="D9" s="50" t="str">
        <f>IF(C9&lt;=0,"",VLOOKUP(C9,[9]FF!A:D,2,0))</f>
        <v>PARTICIPACIONES Ramo 28</v>
      </c>
      <c r="E9" s="31" t="s">
        <v>245</v>
      </c>
      <c r="F9" s="32" t="s">
        <v>15</v>
      </c>
      <c r="G9" s="28">
        <v>212001</v>
      </c>
      <c r="H9" s="51" t="str">
        <f>IF(G9&lt;=0,"",VLOOKUP(G9,[9]COG!A:H,2,0))</f>
        <v>Material y útiles de impresión</v>
      </c>
      <c r="I9" s="26">
        <v>0</v>
      </c>
      <c r="J9" s="26">
        <v>0</v>
      </c>
      <c r="K9" s="26">
        <v>0</v>
      </c>
      <c r="L9" s="26">
        <v>0</v>
      </c>
      <c r="M9" s="27">
        <f>SUM(Tabla116[[#This Row],[TRIMESTRE  I]:[TRIMESTRE IV]])</f>
        <v>0</v>
      </c>
      <c r="N9" s="33" t="s">
        <v>20</v>
      </c>
      <c r="O9" s="13">
        <v>45658</v>
      </c>
      <c r="P9" s="28" t="s">
        <v>250</v>
      </c>
    </row>
    <row r="10" spans="1:16" ht="25.5" x14ac:dyDescent="0.25">
      <c r="A10" s="3">
        <v>1119</v>
      </c>
      <c r="B10" s="34" t="s">
        <v>244</v>
      </c>
      <c r="C10" s="31">
        <v>530</v>
      </c>
      <c r="D10" s="50" t="str">
        <f>IF(C10&lt;=0,"",VLOOKUP(C10,[9]FF!A:D,2,0))</f>
        <v>PARTICIPACIONES Ramo 28</v>
      </c>
      <c r="E10" s="31" t="s">
        <v>246</v>
      </c>
      <c r="F10" s="32" t="s">
        <v>15</v>
      </c>
      <c r="G10" s="28">
        <v>212001</v>
      </c>
      <c r="H10" s="51" t="str">
        <f>IF(G10&lt;=0,"",VLOOKUP(G10,[9]COG!A:H,2,0))</f>
        <v>Material y útiles de impresión</v>
      </c>
      <c r="I10" s="26">
        <v>0</v>
      </c>
      <c r="J10" s="26">
        <v>54001</v>
      </c>
      <c r="K10" s="26">
        <v>0</v>
      </c>
      <c r="L10" s="26">
        <v>0</v>
      </c>
      <c r="M10" s="27">
        <f>SUM(Tabla116[[#This Row],[TRIMESTRE  I]:[TRIMESTRE IV]])</f>
        <v>54001</v>
      </c>
      <c r="N10" s="33" t="s">
        <v>20</v>
      </c>
      <c r="O10" s="13">
        <v>45658</v>
      </c>
      <c r="P10" s="28" t="s">
        <v>250</v>
      </c>
    </row>
    <row r="11" spans="1:16" ht="25.5" x14ac:dyDescent="0.25">
      <c r="A11" s="3">
        <v>1120</v>
      </c>
      <c r="B11" s="34" t="s">
        <v>244</v>
      </c>
      <c r="C11" s="31">
        <v>530</v>
      </c>
      <c r="D11" s="50" t="str">
        <f>IF(C11&lt;=0,"",VLOOKUP(C11,[9]FF!A:D,2,0))</f>
        <v>PARTICIPACIONES Ramo 28</v>
      </c>
      <c r="E11" s="31" t="s">
        <v>247</v>
      </c>
      <c r="F11" s="32" t="s">
        <v>15</v>
      </c>
      <c r="G11" s="28">
        <v>212001</v>
      </c>
      <c r="H11" s="51" t="str">
        <f>IF(G11&lt;=0,"",VLOOKUP(G11,[9]COG!A:H,2,0))</f>
        <v>Material y útiles de impresión</v>
      </c>
      <c r="I11" s="26">
        <v>0</v>
      </c>
      <c r="J11" s="26">
        <v>150000</v>
      </c>
      <c r="K11" s="26">
        <v>0</v>
      </c>
      <c r="L11" s="26">
        <v>0</v>
      </c>
      <c r="M11" s="27">
        <f>SUM(Tabla116[[#This Row],[TRIMESTRE  I]:[TRIMESTRE IV]])</f>
        <v>150000</v>
      </c>
      <c r="N11" s="33" t="s">
        <v>20</v>
      </c>
      <c r="O11" s="13">
        <v>45658</v>
      </c>
      <c r="P11" s="28" t="s">
        <v>250</v>
      </c>
    </row>
    <row r="12" spans="1:16" ht="38.25" x14ac:dyDescent="0.25">
      <c r="A12" s="3">
        <v>1121</v>
      </c>
      <c r="B12" s="34" t="s">
        <v>244</v>
      </c>
      <c r="C12" s="31">
        <v>530</v>
      </c>
      <c r="D12" s="50" t="str">
        <f>IF(C12&lt;=0,"",VLOOKUP(C12,[9]FF!A:D,2,0))</f>
        <v>PARTICIPACIONES Ramo 28</v>
      </c>
      <c r="E12" s="31" t="s">
        <v>249</v>
      </c>
      <c r="F12" s="32" t="s">
        <v>15</v>
      </c>
      <c r="G12" s="28">
        <v>212001</v>
      </c>
      <c r="H12" s="51" t="str">
        <f>IF(G12&lt;=0,"",VLOOKUP(G12,[9]COG!A:H,2,0))</f>
        <v>Material y útiles de impresión</v>
      </c>
      <c r="I12" s="26">
        <v>0</v>
      </c>
      <c r="J12" s="26">
        <v>45000</v>
      </c>
      <c r="K12" s="26">
        <v>0</v>
      </c>
      <c r="L12" s="26">
        <v>0</v>
      </c>
      <c r="M12" s="27">
        <f>SUM(Tabla116[[#This Row],[TRIMESTRE  I]:[TRIMESTRE IV]])</f>
        <v>45000</v>
      </c>
      <c r="N12" s="33" t="s">
        <v>20</v>
      </c>
      <c r="O12" s="13">
        <v>45658</v>
      </c>
      <c r="P12" s="28" t="s">
        <v>250</v>
      </c>
    </row>
    <row r="13" spans="1:16" ht="60" x14ac:dyDescent="0.25">
      <c r="A13" s="3">
        <v>1121</v>
      </c>
      <c r="B13" s="34" t="s">
        <v>244</v>
      </c>
      <c r="C13" s="31">
        <v>530</v>
      </c>
      <c r="D13" s="50" t="str">
        <f>IF(C13&lt;=0,"",VLOOKUP(C13,[9]FF!A:D,2,0))</f>
        <v>PARTICIPACIONES Ramo 28</v>
      </c>
      <c r="E13" s="31" t="s">
        <v>249</v>
      </c>
      <c r="F13" s="32" t="s">
        <v>15</v>
      </c>
      <c r="G13" s="28">
        <v>214001</v>
      </c>
      <c r="H13" s="51" t="str">
        <f>IF(G13&lt;=0,"",VLOOKUP(G13,[9]COG!A:H,2,0))</f>
        <v>Materiales, útiles y equipos menores de tecnologías de la información y comunicaciones</v>
      </c>
      <c r="I13" s="26">
        <v>0</v>
      </c>
      <c r="J13" s="26">
        <v>60000</v>
      </c>
      <c r="K13" s="26">
        <v>0</v>
      </c>
      <c r="L13" s="26">
        <v>0</v>
      </c>
      <c r="M13" s="27">
        <f>SUM(Tabla116[[#This Row],[TRIMESTRE  I]:[TRIMESTRE IV]])</f>
        <v>60000</v>
      </c>
      <c r="N13" s="33" t="s">
        <v>19</v>
      </c>
      <c r="O13" s="13">
        <v>45658</v>
      </c>
      <c r="P13" s="28" t="s">
        <v>251</v>
      </c>
    </row>
    <row r="14" spans="1:16" ht="60" x14ac:dyDescent="0.25">
      <c r="A14" s="3">
        <v>1120</v>
      </c>
      <c r="B14" s="34" t="s">
        <v>244</v>
      </c>
      <c r="C14" s="31">
        <v>530</v>
      </c>
      <c r="D14" s="50" t="str">
        <f>IF(C14&lt;=0,"",VLOOKUP(C14,[9]FF!A:D,2,0))</f>
        <v>PARTICIPACIONES Ramo 28</v>
      </c>
      <c r="E14" s="31" t="s">
        <v>247</v>
      </c>
      <c r="F14" s="32" t="s">
        <v>15</v>
      </c>
      <c r="G14" s="28">
        <v>214001</v>
      </c>
      <c r="H14" s="51" t="str">
        <f>IF(G14&lt;=0,"",VLOOKUP(G14,[9]COG!A:H,2,0))</f>
        <v>Materiales, útiles y equipos menores de tecnologías de la información y comunicaciones</v>
      </c>
      <c r="I14" s="26">
        <v>0</v>
      </c>
      <c r="J14" s="26">
        <v>60000</v>
      </c>
      <c r="K14" s="26">
        <v>0</v>
      </c>
      <c r="L14" s="26">
        <v>0</v>
      </c>
      <c r="M14" s="27">
        <f>SUM(Tabla116[[#This Row],[TRIMESTRE  I]:[TRIMESTRE IV]])</f>
        <v>60000</v>
      </c>
      <c r="N14" s="33" t="s">
        <v>19</v>
      </c>
      <c r="O14" s="13">
        <v>45658</v>
      </c>
      <c r="P14" s="28" t="s">
        <v>251</v>
      </c>
    </row>
    <row r="15" spans="1:16" ht="38.25" x14ac:dyDescent="0.25">
      <c r="A15" s="3">
        <v>1118</v>
      </c>
      <c r="B15" s="4" t="s">
        <v>244</v>
      </c>
      <c r="C15" s="5">
        <v>530</v>
      </c>
      <c r="D15" s="50" t="str">
        <f>IF(C15&lt;=0,"",VLOOKUP(C15,[9]FF!A:D,2,0))</f>
        <v>PARTICIPACIONES Ramo 28</v>
      </c>
      <c r="E15" s="5" t="s">
        <v>245</v>
      </c>
      <c r="F15" s="7" t="s">
        <v>15</v>
      </c>
      <c r="G15" s="8">
        <v>216001</v>
      </c>
      <c r="H15" s="51" t="str">
        <f>IF(G15&lt;=0,"",VLOOKUP(G15,[9]COG!A:H,2,0))</f>
        <v>Material de limpieza</v>
      </c>
      <c r="I15" s="10">
        <v>0</v>
      </c>
      <c r="J15" s="10">
        <v>0</v>
      </c>
      <c r="K15" s="10">
        <v>0</v>
      </c>
      <c r="L15" s="10">
        <v>0</v>
      </c>
      <c r="M15" s="11">
        <v>0</v>
      </c>
      <c r="N15" s="12" t="s">
        <v>17</v>
      </c>
      <c r="O15" s="13">
        <v>45658</v>
      </c>
      <c r="P15" s="8" t="s">
        <v>61</v>
      </c>
    </row>
    <row r="16" spans="1:16" ht="33.75" customHeight="1" x14ac:dyDescent="0.25">
      <c r="A16" s="3">
        <v>1119</v>
      </c>
      <c r="B16" s="4" t="s">
        <v>244</v>
      </c>
      <c r="C16" s="5">
        <v>530</v>
      </c>
      <c r="D16" s="50" t="str">
        <f>IF(C16&lt;=0,"",VLOOKUP(C16,[9]FF!A:D,2,0))</f>
        <v>PARTICIPACIONES Ramo 28</v>
      </c>
      <c r="E16" s="5" t="s">
        <v>246</v>
      </c>
      <c r="F16" s="7" t="s">
        <v>15</v>
      </c>
      <c r="G16" s="8">
        <v>216001</v>
      </c>
      <c r="H16" s="51" t="str">
        <f>IF(G16&lt;=0,"",VLOOKUP(G16,[9]COG!A:H,2,0))</f>
        <v>Material de limpieza</v>
      </c>
      <c r="I16" s="10">
        <v>7965</v>
      </c>
      <c r="J16" s="10">
        <v>8118</v>
      </c>
      <c r="K16" s="10">
        <v>4500</v>
      </c>
      <c r="L16" s="10">
        <v>2502</v>
      </c>
      <c r="M16" s="11">
        <f>SUM(Tabla116[[#This Row],[TRIMESTRE  I]:[TRIMESTRE IV]])</f>
        <v>23085</v>
      </c>
      <c r="N16" s="12" t="s">
        <v>17</v>
      </c>
      <c r="O16" s="13">
        <v>45658</v>
      </c>
      <c r="P16" s="8" t="s">
        <v>61</v>
      </c>
    </row>
    <row r="17" spans="1:16" ht="25.5" x14ac:dyDescent="0.25">
      <c r="A17" s="3">
        <v>1120</v>
      </c>
      <c r="B17" s="4" t="s">
        <v>244</v>
      </c>
      <c r="C17" s="5">
        <v>530</v>
      </c>
      <c r="D17" s="50" t="str">
        <f>IF(C17&lt;=0,"",VLOOKUP(C17,[9]FF!A:D,2,0))</f>
        <v>PARTICIPACIONES Ramo 28</v>
      </c>
      <c r="E17" s="5" t="s">
        <v>247</v>
      </c>
      <c r="F17" s="7" t="s">
        <v>15</v>
      </c>
      <c r="G17" s="8">
        <v>216001</v>
      </c>
      <c r="H17" s="51" t="str">
        <f>IF(G17&lt;=0,"",VLOOKUP(G17,[9]COG!A:H,2,0))</f>
        <v>Material de limpieza</v>
      </c>
      <c r="I17" s="10">
        <v>14959</v>
      </c>
      <c r="J17" s="10">
        <v>15041</v>
      </c>
      <c r="K17" s="10">
        <v>15000</v>
      </c>
      <c r="L17" s="10">
        <v>15000</v>
      </c>
      <c r="M17" s="11">
        <f>SUM(Tabla116[[#This Row],[TRIMESTRE  I]:[TRIMESTRE IV]])</f>
        <v>60000</v>
      </c>
      <c r="N17" s="12" t="s">
        <v>17</v>
      </c>
      <c r="O17" s="13">
        <v>45658</v>
      </c>
      <c r="P17" s="8" t="s">
        <v>61</v>
      </c>
    </row>
    <row r="18" spans="1:16" ht="38.25" x14ac:dyDescent="0.25">
      <c r="A18" s="3">
        <v>1121</v>
      </c>
      <c r="B18" s="4" t="s">
        <v>244</v>
      </c>
      <c r="C18" s="5">
        <v>530</v>
      </c>
      <c r="D18" s="50" t="str">
        <f>IF(C18&lt;=0,"",VLOOKUP(C18,[9]FF!A:D,2,0))</f>
        <v>PARTICIPACIONES Ramo 28</v>
      </c>
      <c r="E18" s="5" t="s">
        <v>249</v>
      </c>
      <c r="F18" s="7" t="s">
        <v>15</v>
      </c>
      <c r="G18" s="8">
        <v>216001</v>
      </c>
      <c r="H18" s="51" t="str">
        <f>IF(G18&lt;=0,"",VLOOKUP(G18,[9]COG!A:H,2,0))</f>
        <v>Material de limpieza</v>
      </c>
      <c r="I18" s="10">
        <v>4435</v>
      </c>
      <c r="J18" s="10">
        <v>4565</v>
      </c>
      <c r="K18" s="10">
        <v>4500</v>
      </c>
      <c r="L18" s="10">
        <v>4500</v>
      </c>
      <c r="M18" s="11">
        <f>SUM(Tabla116[[#This Row],[TRIMESTRE  I]:[TRIMESTRE IV]])</f>
        <v>18000</v>
      </c>
      <c r="N18" s="12" t="s">
        <v>17</v>
      </c>
      <c r="O18" s="13">
        <v>45658</v>
      </c>
      <c r="P18" s="8" t="s">
        <v>61</v>
      </c>
    </row>
    <row r="19" spans="1:16" ht="38.25" x14ac:dyDescent="0.25">
      <c r="A19" s="3">
        <v>1118235</v>
      </c>
      <c r="B19" s="4" t="s">
        <v>244</v>
      </c>
      <c r="C19" s="5">
        <v>530</v>
      </c>
      <c r="D19" s="50" t="str">
        <f>IF(C19&lt;=0,"",VLOOKUP(C19,[9]FF!A:D,2,0))</f>
        <v>PARTICIPACIONES Ramo 28</v>
      </c>
      <c r="E19" s="5" t="s">
        <v>245</v>
      </c>
      <c r="F19" s="7" t="s">
        <v>15</v>
      </c>
      <c r="G19" s="28">
        <v>221001</v>
      </c>
      <c r="H19" s="51" t="str">
        <f>IF(G19&lt;=0,"",VLOOKUP(G19,[9]COG!A:H,2,0))</f>
        <v>Alimentación de personas</v>
      </c>
      <c r="I19" s="26">
        <v>0</v>
      </c>
      <c r="J19" s="26">
        <v>0</v>
      </c>
      <c r="K19" s="26">
        <v>0</v>
      </c>
      <c r="L19" s="26">
        <v>0</v>
      </c>
      <c r="M19" s="11">
        <f>SUM(Tabla116[[#This Row],[TRIMESTRE  I]:[TRIMESTRE IV]])</f>
        <v>0</v>
      </c>
      <c r="N19" s="33" t="s">
        <v>20</v>
      </c>
      <c r="O19" s="13">
        <v>45658</v>
      </c>
      <c r="P19" s="28" t="s">
        <v>250</v>
      </c>
    </row>
    <row r="20" spans="1:16" ht="25.5" x14ac:dyDescent="0.25">
      <c r="A20" s="3">
        <v>1119</v>
      </c>
      <c r="B20" s="4" t="s">
        <v>244</v>
      </c>
      <c r="C20" s="5">
        <v>530</v>
      </c>
      <c r="D20" s="50" t="str">
        <f>IF(C20&lt;=0,"",VLOOKUP(C20,[9]FF!A:D,2,0))</f>
        <v>PARTICIPACIONES Ramo 28</v>
      </c>
      <c r="E20" s="5" t="s">
        <v>246</v>
      </c>
      <c r="F20" s="7" t="s">
        <v>15</v>
      </c>
      <c r="G20" s="28">
        <v>221001</v>
      </c>
      <c r="H20" s="51" t="str">
        <f>IF(G20&lt;=0,"",VLOOKUP(G20,[9]COG!A:H,2,0))</f>
        <v>Alimentación de personas</v>
      </c>
      <c r="I20" s="26">
        <v>30000</v>
      </c>
      <c r="J20" s="26">
        <v>30000</v>
      </c>
      <c r="K20" s="26">
        <v>31250</v>
      </c>
      <c r="L20" s="26">
        <v>34270</v>
      </c>
      <c r="M20" s="11">
        <f>SUM(Tabla116[[#This Row],[TRIMESTRE  I]:[TRIMESTRE IV]])</f>
        <v>125520</v>
      </c>
      <c r="N20" s="33" t="s">
        <v>20</v>
      </c>
      <c r="O20" s="13">
        <v>45658</v>
      </c>
      <c r="P20" s="28" t="s">
        <v>250</v>
      </c>
    </row>
    <row r="21" spans="1:16" ht="25.5" x14ac:dyDescent="0.25">
      <c r="A21" s="3">
        <v>1120</v>
      </c>
      <c r="B21" s="34" t="s">
        <v>244</v>
      </c>
      <c r="C21" s="31">
        <v>530</v>
      </c>
      <c r="D21" s="50" t="str">
        <f>IF(C21&lt;=0,"",VLOOKUP(C21,[9]FF!A:D,2,0))</f>
        <v>PARTICIPACIONES Ramo 28</v>
      </c>
      <c r="E21" s="31" t="s">
        <v>247</v>
      </c>
      <c r="F21" s="32" t="s">
        <v>15</v>
      </c>
      <c r="G21" s="28">
        <v>221001</v>
      </c>
      <c r="H21" s="51" t="str">
        <f>IF(G21&lt;=0,"",VLOOKUP(G21,[9]COG!A:H,2,0))</f>
        <v>Alimentación de personas</v>
      </c>
      <c r="I21" s="26">
        <v>15000</v>
      </c>
      <c r="J21" s="26">
        <v>20000</v>
      </c>
      <c r="K21" s="26">
        <v>20439</v>
      </c>
      <c r="L21" s="26">
        <v>25000</v>
      </c>
      <c r="M21" s="11">
        <f>SUM(Tabla116[[#This Row],[TRIMESTRE  I]:[TRIMESTRE IV]])</f>
        <v>80439</v>
      </c>
      <c r="N21" s="33" t="s">
        <v>20</v>
      </c>
      <c r="O21" s="13">
        <v>45658</v>
      </c>
      <c r="P21" s="28" t="s">
        <v>250</v>
      </c>
    </row>
    <row r="22" spans="1:16" ht="38.25" x14ac:dyDescent="0.25">
      <c r="A22" s="3">
        <v>1121</v>
      </c>
      <c r="B22" s="34" t="s">
        <v>244</v>
      </c>
      <c r="C22" s="31">
        <v>530</v>
      </c>
      <c r="D22" s="50" t="str">
        <f>IF(C22&lt;=0,"",VLOOKUP(C22,[9]FF!A:D,2,0))</f>
        <v>PARTICIPACIONES Ramo 28</v>
      </c>
      <c r="E22" s="31" t="s">
        <v>249</v>
      </c>
      <c r="F22" s="32" t="s">
        <v>15</v>
      </c>
      <c r="G22" s="28">
        <v>221001</v>
      </c>
      <c r="H22" s="51" t="str">
        <f>IF(G22&lt;=0,"",VLOOKUP(G22,[9]COG!A:H,2,0))</f>
        <v>Alimentación de personas</v>
      </c>
      <c r="I22" s="26">
        <v>11136</v>
      </c>
      <c r="J22" s="26">
        <v>46960</v>
      </c>
      <c r="K22" s="26">
        <v>24000</v>
      </c>
      <c r="L22" s="26">
        <v>16000</v>
      </c>
      <c r="M22" s="11">
        <f>SUM(Tabla116[[#This Row],[TRIMESTRE  I]:[TRIMESTRE IV]])</f>
        <v>98096</v>
      </c>
      <c r="N22" s="33" t="s">
        <v>20</v>
      </c>
      <c r="O22" s="13">
        <v>45658</v>
      </c>
      <c r="P22" s="28" t="s">
        <v>250</v>
      </c>
    </row>
    <row r="23" spans="1:16" ht="38.25" x14ac:dyDescent="0.25">
      <c r="A23" s="3">
        <v>1118</v>
      </c>
      <c r="B23" s="4" t="s">
        <v>244</v>
      </c>
      <c r="C23" s="5">
        <v>530</v>
      </c>
      <c r="D23" s="50" t="str">
        <f>IF(C23&lt;=0,"",VLOOKUP(C23,[9]FF!A:D,2,0))</f>
        <v>PARTICIPACIONES Ramo 28</v>
      </c>
      <c r="E23" s="5" t="s">
        <v>245</v>
      </c>
      <c r="F23" s="7" t="s">
        <v>15</v>
      </c>
      <c r="G23" s="8">
        <v>261001</v>
      </c>
      <c r="H23" s="51" t="str">
        <f>IF(G23&lt;=0,"",VLOOKUP(G23,[9]COG!A:H,2,0))</f>
        <v>Combustibles</v>
      </c>
      <c r="I23" s="10">
        <v>255000</v>
      </c>
      <c r="J23" s="10">
        <v>255000</v>
      </c>
      <c r="K23" s="10">
        <v>255000</v>
      </c>
      <c r="L23" s="10">
        <v>255000</v>
      </c>
      <c r="M23" s="114">
        <f>SUM(Tabla116[[#This Row],[TRIMESTRE  I]:[TRIMESTRE IV]])</f>
        <v>1020000</v>
      </c>
      <c r="N23" s="12" t="s">
        <v>30</v>
      </c>
      <c r="O23" s="13">
        <v>45658</v>
      </c>
      <c r="P23" s="8" t="s">
        <v>252</v>
      </c>
    </row>
    <row r="24" spans="1:16" ht="24" x14ac:dyDescent="0.25">
      <c r="A24" s="3">
        <v>1119</v>
      </c>
      <c r="B24" s="4">
        <v>1119</v>
      </c>
      <c r="C24" s="5">
        <v>530</v>
      </c>
      <c r="D24" s="50" t="str">
        <f>IF(C24&lt;=0,"",VLOOKUP(C24,[9]FF!A:D,2,0))</f>
        <v>PARTICIPACIONES Ramo 28</v>
      </c>
      <c r="E24" s="5" t="s">
        <v>246</v>
      </c>
      <c r="F24" s="7" t="s">
        <v>15</v>
      </c>
      <c r="G24" s="8">
        <v>261001</v>
      </c>
      <c r="H24" s="51" t="str">
        <f>IF(G24&lt;=0,"",VLOOKUP(G24,[9]COG!A:H,2,0))</f>
        <v>Combustibles</v>
      </c>
      <c r="I24" s="10">
        <v>45000</v>
      </c>
      <c r="J24" s="10">
        <v>45000</v>
      </c>
      <c r="K24" s="10">
        <v>45000</v>
      </c>
      <c r="L24" s="10">
        <v>45000</v>
      </c>
      <c r="M24" s="11">
        <f>SUM(Tabla116[[#This Row],[TRIMESTRE  I]:[TRIMESTRE IV]])</f>
        <v>180000</v>
      </c>
      <c r="N24" s="12" t="s">
        <v>30</v>
      </c>
      <c r="O24" s="13">
        <v>45658</v>
      </c>
      <c r="P24" s="8" t="s">
        <v>252</v>
      </c>
    </row>
    <row r="25" spans="1:16" ht="25.5" x14ac:dyDescent="0.25">
      <c r="A25" s="30">
        <v>1120</v>
      </c>
      <c r="B25" s="34" t="s">
        <v>244</v>
      </c>
      <c r="C25" s="31">
        <v>530</v>
      </c>
      <c r="D25" s="50" t="str">
        <f>IF(C25&lt;=0,"",VLOOKUP(C25,[9]FF!A:D,2,0))</f>
        <v>PARTICIPACIONES Ramo 28</v>
      </c>
      <c r="E25" s="31" t="s">
        <v>247</v>
      </c>
      <c r="F25" s="32" t="s">
        <v>15</v>
      </c>
      <c r="G25" s="28">
        <v>261001</v>
      </c>
      <c r="H25" s="51" t="str">
        <f>IF(G25&lt;=0,"",VLOOKUP(G25,[9]COG!A:H,2,0))</f>
        <v>Combustibles</v>
      </c>
      <c r="I25" s="26">
        <v>95000</v>
      </c>
      <c r="J25" s="26">
        <v>115000</v>
      </c>
      <c r="K25" s="26">
        <v>105000</v>
      </c>
      <c r="L25" s="26">
        <v>105000</v>
      </c>
      <c r="M25" s="27">
        <f>SUM(Tabla116[[#This Row],[TRIMESTRE  I]:[TRIMESTRE IV]])</f>
        <v>420000</v>
      </c>
      <c r="N25" s="33" t="s">
        <v>30</v>
      </c>
      <c r="O25" s="13">
        <v>45658</v>
      </c>
      <c r="P25" s="8" t="s">
        <v>252</v>
      </c>
    </row>
    <row r="26" spans="1:16" ht="38.25" x14ac:dyDescent="0.25">
      <c r="A26" s="30">
        <v>1121</v>
      </c>
      <c r="B26" s="34" t="s">
        <v>244</v>
      </c>
      <c r="C26" s="31">
        <v>530</v>
      </c>
      <c r="D26" s="50" t="str">
        <f>IF(C26&lt;=0,"",VLOOKUP(C26,[9]FF!A:D,2,0))</f>
        <v>PARTICIPACIONES Ramo 28</v>
      </c>
      <c r="E26" s="31" t="s">
        <v>249</v>
      </c>
      <c r="F26" s="32" t="s">
        <v>15</v>
      </c>
      <c r="G26" s="28">
        <v>261001</v>
      </c>
      <c r="H26" s="51" t="str">
        <f>IF(G26&lt;=0,"",VLOOKUP(G26,[9]COG!A:H,2,0))</f>
        <v>Combustibles</v>
      </c>
      <c r="I26" s="26">
        <v>45000</v>
      </c>
      <c r="J26" s="26">
        <v>35000</v>
      </c>
      <c r="K26" s="26">
        <v>30000</v>
      </c>
      <c r="L26" s="26">
        <v>30000</v>
      </c>
      <c r="M26" s="27">
        <f>SUM(Tabla116[[#This Row],[TRIMESTRE  I]:[TRIMESTRE IV]])</f>
        <v>140000</v>
      </c>
      <c r="N26" s="33" t="s">
        <v>30</v>
      </c>
      <c r="O26" s="13">
        <v>45658</v>
      </c>
      <c r="P26" s="8" t="s">
        <v>252</v>
      </c>
    </row>
    <row r="27" spans="1:16" ht="30.75" customHeight="1" x14ac:dyDescent="0.25">
      <c r="A27" s="3">
        <v>1119</v>
      </c>
      <c r="B27" s="4">
        <v>1119</v>
      </c>
      <c r="C27" s="5">
        <v>530</v>
      </c>
      <c r="D27" s="6" t="s">
        <v>14</v>
      </c>
      <c r="E27" s="5" t="s">
        <v>246</v>
      </c>
      <c r="F27" s="7" t="s">
        <v>15</v>
      </c>
      <c r="G27" s="8"/>
      <c r="H27" s="9" t="s">
        <v>253</v>
      </c>
      <c r="I27" s="10">
        <v>0</v>
      </c>
      <c r="J27" s="10">
        <v>10000</v>
      </c>
      <c r="K27" s="10">
        <v>0</v>
      </c>
      <c r="L27" s="10">
        <v>0</v>
      </c>
      <c r="M27" s="27">
        <f>SUM(Tabla116[[#This Row],[TRIMESTRE  I]:[TRIMESTRE IV]])</f>
        <v>10000</v>
      </c>
      <c r="N27" s="33" t="s">
        <v>30</v>
      </c>
      <c r="O27" s="13">
        <v>45658</v>
      </c>
      <c r="P27" s="8" t="s">
        <v>252</v>
      </c>
    </row>
    <row r="28" spans="1:16" ht="41.25" customHeight="1" x14ac:dyDescent="0.25">
      <c r="A28" s="3">
        <v>1120</v>
      </c>
      <c r="B28" s="4" t="s">
        <v>244</v>
      </c>
      <c r="C28" s="5">
        <v>530</v>
      </c>
      <c r="D28" s="6" t="s">
        <v>14</v>
      </c>
      <c r="E28" s="5" t="s">
        <v>247</v>
      </c>
      <c r="F28" s="7" t="s">
        <v>15</v>
      </c>
      <c r="G28" s="8"/>
      <c r="H28" s="9" t="s">
        <v>253</v>
      </c>
      <c r="I28" s="10">
        <v>0</v>
      </c>
      <c r="J28" s="10">
        <v>40000</v>
      </c>
      <c r="K28" s="10">
        <v>0</v>
      </c>
      <c r="L28" s="10">
        <v>0</v>
      </c>
      <c r="M28" s="27">
        <f>SUM(Tabla116[[#This Row],[TRIMESTRE  I]:[TRIMESTRE IV]])</f>
        <v>40000</v>
      </c>
      <c r="N28" s="33" t="s">
        <v>30</v>
      </c>
      <c r="O28" s="13">
        <v>45658</v>
      </c>
      <c r="P28" s="8" t="s">
        <v>252</v>
      </c>
    </row>
    <row r="29" spans="1:16" ht="38.25" x14ac:dyDescent="0.25">
      <c r="A29" s="3">
        <v>1121</v>
      </c>
      <c r="B29" s="4" t="s">
        <v>244</v>
      </c>
      <c r="C29" s="5">
        <v>530</v>
      </c>
      <c r="D29" s="6" t="s">
        <v>14</v>
      </c>
      <c r="E29" s="5" t="s">
        <v>249</v>
      </c>
      <c r="F29" s="7" t="s">
        <v>15</v>
      </c>
      <c r="G29" s="8"/>
      <c r="H29" s="9" t="s">
        <v>253</v>
      </c>
      <c r="I29" s="10">
        <v>0</v>
      </c>
      <c r="J29" s="10">
        <v>15000</v>
      </c>
      <c r="K29" s="10">
        <v>0</v>
      </c>
      <c r="L29" s="10">
        <v>0</v>
      </c>
      <c r="M29" s="27">
        <f>SUM(Tabla116[[#This Row],[TRIMESTRE  I]:[TRIMESTRE IV]])</f>
        <v>15000</v>
      </c>
      <c r="N29" s="33" t="s">
        <v>30</v>
      </c>
      <c r="O29" s="13">
        <v>45658</v>
      </c>
      <c r="P29" s="8" t="s">
        <v>252</v>
      </c>
    </row>
    <row r="30" spans="1:16" ht="38.25" x14ac:dyDescent="0.25">
      <c r="A30" s="30">
        <v>1118</v>
      </c>
      <c r="B30" s="34" t="s">
        <v>244</v>
      </c>
      <c r="C30" s="31">
        <v>530</v>
      </c>
      <c r="D30" s="50" t="str">
        <f>IF(C30&lt;=0,"",VLOOKUP(C30,[9]FF!A:D,2,0))</f>
        <v>PARTICIPACIONES Ramo 28</v>
      </c>
      <c r="E30" s="31" t="s">
        <v>245</v>
      </c>
      <c r="F30" s="32" t="s">
        <v>22</v>
      </c>
      <c r="G30" s="28">
        <v>322001</v>
      </c>
      <c r="H30" s="51" t="str">
        <f>IF(G30&lt;=0,"",VLOOKUP(G30,[9]COG!A:H,2,0))</f>
        <v>Arrendamiento de edificios</v>
      </c>
      <c r="I30" s="26">
        <v>173688</v>
      </c>
      <c r="J30" s="26">
        <v>173688</v>
      </c>
      <c r="K30" s="26">
        <v>173688</v>
      </c>
      <c r="L30" s="26">
        <v>173688</v>
      </c>
      <c r="M30" s="27">
        <f>SUM(Tabla116[[#This Row],[TRIMESTRE  I]:[TRIMESTRE IV]])</f>
        <v>694752</v>
      </c>
      <c r="N30" s="33" t="s">
        <v>17</v>
      </c>
      <c r="O30" s="13">
        <v>45658</v>
      </c>
      <c r="P30" s="28" t="s">
        <v>254</v>
      </c>
    </row>
    <row r="31" spans="1:16" ht="38.25" x14ac:dyDescent="0.25">
      <c r="A31" s="30">
        <v>1118</v>
      </c>
      <c r="B31" s="34" t="s">
        <v>244</v>
      </c>
      <c r="C31" s="31">
        <v>530</v>
      </c>
      <c r="D31" s="50" t="str">
        <f>IF(C31&lt;=0,"",VLOOKUP(C31,[9]FF!A:D,2,0))</f>
        <v>PARTICIPACIONES Ramo 28</v>
      </c>
      <c r="E31" s="31" t="s">
        <v>245</v>
      </c>
      <c r="F31" s="32" t="s">
        <v>22</v>
      </c>
      <c r="G31" s="28">
        <v>323001</v>
      </c>
      <c r="H31" s="51" t="str">
        <f>IF(G31&lt;=0,"",VLOOKUP(G31,[9]COG!A:H,2,0))</f>
        <v>Arrendamiento de maquinaria y equipo</v>
      </c>
      <c r="I31" s="26">
        <v>36000</v>
      </c>
      <c r="J31" s="26">
        <v>36000</v>
      </c>
      <c r="K31" s="26">
        <v>36000</v>
      </c>
      <c r="L31" s="26">
        <v>3600</v>
      </c>
      <c r="M31" s="27">
        <v>216000</v>
      </c>
      <c r="N31" s="33" t="s">
        <v>30</v>
      </c>
      <c r="O31" s="13">
        <v>45658</v>
      </c>
      <c r="P31" s="8" t="s">
        <v>252</v>
      </c>
    </row>
    <row r="32" spans="1:16" ht="25.5" x14ac:dyDescent="0.25">
      <c r="A32" s="30">
        <v>1120</v>
      </c>
      <c r="B32" s="34" t="s">
        <v>244</v>
      </c>
      <c r="C32" s="31">
        <v>530</v>
      </c>
      <c r="D32" s="50" t="str">
        <f>IF(C32&lt;=0,"",VLOOKUP(C32,[9]FF!A:D,2,0))</f>
        <v>PARTICIPACIONES Ramo 28</v>
      </c>
      <c r="E32" s="31" t="s">
        <v>247</v>
      </c>
      <c r="F32" s="32" t="s">
        <v>22</v>
      </c>
      <c r="G32" s="28">
        <v>323001</v>
      </c>
      <c r="H32" s="51" t="str">
        <f>IF(G32&lt;=0,"",VLOOKUP(G32,[9]COG!A:H,2,0))</f>
        <v>Arrendamiento de maquinaria y equipo</v>
      </c>
      <c r="I32" s="26">
        <v>18000</v>
      </c>
      <c r="J32" s="26">
        <v>18000</v>
      </c>
      <c r="K32" s="26">
        <v>18000</v>
      </c>
      <c r="L32" s="26">
        <v>18000</v>
      </c>
      <c r="M32" s="27">
        <f>SUM(Tabla116[[#This Row],[TRIMESTRE  I]:[TRIMESTRE IV]])</f>
        <v>72000</v>
      </c>
      <c r="N32" s="33" t="s">
        <v>30</v>
      </c>
      <c r="O32" s="13">
        <v>45658</v>
      </c>
      <c r="P32" s="8" t="s">
        <v>252</v>
      </c>
    </row>
    <row r="33" spans="1:16" ht="38.25" x14ac:dyDescent="0.25">
      <c r="A33" s="30">
        <v>1121</v>
      </c>
      <c r="B33" s="34" t="s">
        <v>244</v>
      </c>
      <c r="C33" s="31">
        <v>530</v>
      </c>
      <c r="D33" s="50" t="str">
        <f>IF(C33&lt;=0,"",VLOOKUP(C33,[9]FF!A:D,2,0))</f>
        <v>PARTICIPACIONES Ramo 28</v>
      </c>
      <c r="E33" s="31" t="s">
        <v>249</v>
      </c>
      <c r="F33" s="32" t="s">
        <v>22</v>
      </c>
      <c r="G33" s="28">
        <v>323001</v>
      </c>
      <c r="H33" s="51" t="str">
        <f>IF(G33&lt;=0,"",VLOOKUP(G33,[9]COG!A:H,2,0))</f>
        <v>Arrendamiento de maquinaria y equipo</v>
      </c>
      <c r="I33" s="26">
        <v>15000</v>
      </c>
      <c r="J33" s="26">
        <v>15000</v>
      </c>
      <c r="K33" s="26">
        <v>15000</v>
      </c>
      <c r="L33" s="26">
        <v>15000</v>
      </c>
      <c r="M33" s="27">
        <f>SUM(Tabla116[[#This Row],[TRIMESTRE  I]:[TRIMESTRE IV]])</f>
        <v>60000</v>
      </c>
      <c r="N33" s="33" t="s">
        <v>30</v>
      </c>
      <c r="O33" s="13">
        <v>45658</v>
      </c>
      <c r="P33" s="8" t="s">
        <v>252</v>
      </c>
    </row>
    <row r="34" spans="1:16" ht="38.25" x14ac:dyDescent="0.25">
      <c r="A34" s="30">
        <v>118</v>
      </c>
      <c r="B34" s="34" t="s">
        <v>244</v>
      </c>
      <c r="C34" s="31">
        <v>530</v>
      </c>
      <c r="D34" s="50" t="str">
        <f>IF(C34&lt;=0,"",VLOOKUP(C34,[9]FF!A:D,2,0))</f>
        <v>PARTICIPACIONES Ramo 28</v>
      </c>
      <c r="E34" s="31" t="s">
        <v>245</v>
      </c>
      <c r="F34" s="32" t="s">
        <v>22</v>
      </c>
      <c r="G34" s="28">
        <v>345001</v>
      </c>
      <c r="H34" s="51" t="str">
        <f>IF(G34&lt;=0,"",VLOOKUP(G34,[9]COG!A:H,2,0))</f>
        <v>Seguros</v>
      </c>
      <c r="I34" s="26">
        <v>145000</v>
      </c>
      <c r="J34" s="26">
        <v>0</v>
      </c>
      <c r="K34" s="26">
        <v>0</v>
      </c>
      <c r="L34" s="26">
        <v>0</v>
      </c>
      <c r="M34" s="27">
        <f>SUM(Tabla116[[#This Row],[TRIMESTRE  I]:[TRIMESTRE IV]])</f>
        <v>145000</v>
      </c>
      <c r="N34" s="33" t="s">
        <v>30</v>
      </c>
      <c r="O34" s="13">
        <v>45658</v>
      </c>
      <c r="P34" s="8" t="s">
        <v>252</v>
      </c>
    </row>
    <row r="35" spans="1:16" ht="24" x14ac:dyDescent="0.25">
      <c r="A35" s="30">
        <v>1119</v>
      </c>
      <c r="B35" s="34" t="s">
        <v>244</v>
      </c>
      <c r="C35" s="31">
        <v>530</v>
      </c>
      <c r="D35" s="50" t="str">
        <f>IF(C35&lt;=0,"",VLOOKUP(C35,[9]FF!A:D,2,0))</f>
        <v>PARTICIPACIONES Ramo 28</v>
      </c>
      <c r="E35" s="31" t="s">
        <v>246</v>
      </c>
      <c r="F35" s="32" t="s">
        <v>22</v>
      </c>
      <c r="G35" s="28">
        <v>345001</v>
      </c>
      <c r="H35" s="51" t="str">
        <f>IF(G35&lt;=0,"",VLOOKUP(G35,[9]COG!A:H,2,0))</f>
        <v>Seguros</v>
      </c>
      <c r="I35" s="26">
        <v>12681</v>
      </c>
      <c r="J35" s="26">
        <v>0</v>
      </c>
      <c r="K35" s="26">
        <v>0</v>
      </c>
      <c r="L35" s="26"/>
      <c r="M35" s="27">
        <f>SUM(Tabla116[[#This Row],[TRIMESTRE  I]:[TRIMESTRE IV]])</f>
        <v>12681</v>
      </c>
      <c r="N35" s="33" t="s">
        <v>30</v>
      </c>
      <c r="O35" s="13">
        <v>45658</v>
      </c>
      <c r="P35" s="8" t="s">
        <v>252</v>
      </c>
    </row>
    <row r="36" spans="1:16" ht="25.5" x14ac:dyDescent="0.25">
      <c r="A36" s="30">
        <v>1120</v>
      </c>
      <c r="B36" s="34" t="s">
        <v>244</v>
      </c>
      <c r="C36" s="31">
        <v>530</v>
      </c>
      <c r="D36" s="50" t="str">
        <f>IF(C36&lt;=0,"",VLOOKUP(C36,[9]FF!A:D,2,0))</f>
        <v>PARTICIPACIONES Ramo 28</v>
      </c>
      <c r="E36" s="31" t="s">
        <v>247</v>
      </c>
      <c r="F36" s="32" t="s">
        <v>22</v>
      </c>
      <c r="G36" s="28">
        <v>345001</v>
      </c>
      <c r="H36" s="51" t="str">
        <f>IF(G36&lt;=0,"",VLOOKUP(G36,[9]COG!A:H,2,0))</f>
        <v>Seguros</v>
      </c>
      <c r="I36" s="26">
        <v>30000</v>
      </c>
      <c r="J36" s="26">
        <v>0</v>
      </c>
      <c r="K36" s="26">
        <v>0</v>
      </c>
      <c r="L36" s="26">
        <v>0</v>
      </c>
      <c r="M36" s="27">
        <f>SUM(Tabla116[[#This Row],[TRIMESTRE  I]:[TRIMESTRE IV]])</f>
        <v>30000</v>
      </c>
      <c r="N36" s="33" t="s">
        <v>30</v>
      </c>
      <c r="O36" s="13">
        <v>45658</v>
      </c>
      <c r="P36" s="8" t="s">
        <v>252</v>
      </c>
    </row>
    <row r="37" spans="1:16" ht="38.25" x14ac:dyDescent="0.25">
      <c r="A37" s="30">
        <v>1121</v>
      </c>
      <c r="B37" s="34" t="s">
        <v>244</v>
      </c>
      <c r="C37" s="31">
        <v>530</v>
      </c>
      <c r="D37" s="50" t="str">
        <f>IF(C37&lt;=0,"",VLOOKUP(C37,[9]FF!A:D,2,0))</f>
        <v>PARTICIPACIONES Ramo 28</v>
      </c>
      <c r="E37" s="31" t="s">
        <v>249</v>
      </c>
      <c r="F37" s="32" t="s">
        <v>22</v>
      </c>
      <c r="G37" s="28">
        <v>345001</v>
      </c>
      <c r="H37" s="51" t="str">
        <f>IF(G37&lt;=0,"",VLOOKUP(G37,[9]COG!A:H,2,0))</f>
        <v>Seguros</v>
      </c>
      <c r="I37" s="26">
        <v>55000</v>
      </c>
      <c r="J37" s="26">
        <v>0</v>
      </c>
      <c r="K37" s="26">
        <v>0</v>
      </c>
      <c r="L37" s="26">
        <v>0</v>
      </c>
      <c r="M37" s="27">
        <f>SUM(Tabla116[[#This Row],[TRIMESTRE  I]:[TRIMESTRE IV]])</f>
        <v>55000</v>
      </c>
      <c r="N37" s="33" t="s">
        <v>30</v>
      </c>
      <c r="O37" s="13">
        <v>45658</v>
      </c>
      <c r="P37" s="8" t="s">
        <v>252</v>
      </c>
    </row>
    <row r="38" spans="1:16" ht="38.25" x14ac:dyDescent="0.25">
      <c r="A38" s="30">
        <v>1118</v>
      </c>
      <c r="B38" s="34" t="s">
        <v>244</v>
      </c>
      <c r="C38" s="31">
        <v>530</v>
      </c>
      <c r="D38" s="50" t="str">
        <f>IF(C38&lt;=0,"",VLOOKUP(C38,[9]FF!A:D,2,0))</f>
        <v>PARTICIPACIONES Ramo 28</v>
      </c>
      <c r="E38" s="31" t="s">
        <v>245</v>
      </c>
      <c r="F38" s="32" t="s">
        <v>22</v>
      </c>
      <c r="G38" s="28">
        <v>371001</v>
      </c>
      <c r="H38" s="51" t="str">
        <f>IF(G38&lt;=0,"",VLOOKUP(G38,[9]COG!A:H,2,0))</f>
        <v>Pasajes aéreos</v>
      </c>
      <c r="I38" s="26">
        <v>0</v>
      </c>
      <c r="J38" s="26">
        <v>54000</v>
      </c>
      <c r="K38" s="26">
        <v>0</v>
      </c>
      <c r="L38" s="26">
        <v>0</v>
      </c>
      <c r="M38" s="27">
        <f>SUM(Tabla116[[#This Row],[TRIMESTRE  I]:[TRIMESTRE IV]])</f>
        <v>54000</v>
      </c>
      <c r="N38" s="33" t="s">
        <v>17</v>
      </c>
      <c r="O38" s="13">
        <v>45658</v>
      </c>
      <c r="P38" s="8" t="s">
        <v>61</v>
      </c>
    </row>
    <row r="39" spans="1:16" ht="24" x14ac:dyDescent="0.25">
      <c r="A39" s="30">
        <v>1119</v>
      </c>
      <c r="B39" s="34" t="s">
        <v>244</v>
      </c>
      <c r="C39" s="31">
        <v>530</v>
      </c>
      <c r="D39" s="50" t="str">
        <f>IF(C39&lt;=0,"",VLOOKUP(C39,[9]FF!A:D,2,0))</f>
        <v>PARTICIPACIONES Ramo 28</v>
      </c>
      <c r="E39" s="31" t="s">
        <v>246</v>
      </c>
      <c r="F39" s="32" t="s">
        <v>22</v>
      </c>
      <c r="G39" s="28">
        <v>371001</v>
      </c>
      <c r="H39" s="51" t="str">
        <f>IF(G39&lt;=0,"",VLOOKUP(G39,[9]COG!A:H,2,0))</f>
        <v>Pasajes aéreos</v>
      </c>
      <c r="I39" s="26">
        <v>0</v>
      </c>
      <c r="J39" s="26">
        <v>53994</v>
      </c>
      <c r="K39" s="26">
        <v>0</v>
      </c>
      <c r="L39" s="26">
        <v>0</v>
      </c>
      <c r="M39" s="27">
        <f>SUM(Tabla116[[#This Row],[TRIMESTRE  I]:[TRIMESTRE IV]])</f>
        <v>53994</v>
      </c>
      <c r="N39" s="33" t="s">
        <v>17</v>
      </c>
      <c r="O39" s="13">
        <v>45658</v>
      </c>
      <c r="P39" s="28" t="s">
        <v>254</v>
      </c>
    </row>
    <row r="40" spans="1:16" ht="25.5" x14ac:dyDescent="0.25">
      <c r="A40" s="30">
        <v>1120</v>
      </c>
      <c r="B40" s="34" t="s">
        <v>244</v>
      </c>
      <c r="C40" s="31">
        <v>530</v>
      </c>
      <c r="D40" s="50" t="str">
        <f>IF(C40&lt;=0,"",VLOOKUP(C40,[9]FF!A:D,2,0))</f>
        <v>PARTICIPACIONES Ramo 28</v>
      </c>
      <c r="E40" s="31" t="s">
        <v>247</v>
      </c>
      <c r="F40" s="32" t="s">
        <v>22</v>
      </c>
      <c r="G40" s="28">
        <v>371001</v>
      </c>
      <c r="H40" s="51" t="str">
        <f>IF(G40&lt;=0,"",VLOOKUP(G40,[9]COG!A:H,2,0))</f>
        <v>Pasajes aéreos</v>
      </c>
      <c r="I40" s="26">
        <v>0</v>
      </c>
      <c r="J40" s="26">
        <v>30000</v>
      </c>
      <c r="K40" s="26">
        <v>0</v>
      </c>
      <c r="L40" s="26">
        <v>0</v>
      </c>
      <c r="M40" s="27">
        <f>SUM(Tabla116[[#This Row],[TRIMESTRE  I]:[TRIMESTRE IV]])</f>
        <v>30000</v>
      </c>
      <c r="N40" s="33" t="s">
        <v>17</v>
      </c>
      <c r="O40" s="13">
        <v>45658</v>
      </c>
      <c r="P40" s="28" t="s">
        <v>254</v>
      </c>
    </row>
    <row r="41" spans="1:16" ht="41.25" customHeight="1" x14ac:dyDescent="0.25">
      <c r="A41" s="30">
        <v>1121</v>
      </c>
      <c r="B41" s="34" t="s">
        <v>244</v>
      </c>
      <c r="C41" s="31">
        <v>530</v>
      </c>
      <c r="D41" s="50" t="s">
        <v>14</v>
      </c>
      <c r="E41" s="31" t="s">
        <v>249</v>
      </c>
      <c r="F41" s="7" t="s">
        <v>22</v>
      </c>
      <c r="G41" s="28"/>
      <c r="H41" s="51" t="s">
        <v>31</v>
      </c>
      <c r="I41" s="26">
        <v>0</v>
      </c>
      <c r="J41" s="26">
        <v>30000</v>
      </c>
      <c r="K41" s="26">
        <v>0</v>
      </c>
      <c r="L41" s="26">
        <v>0</v>
      </c>
      <c r="M41" s="27">
        <f>SUM(Tabla116[[#This Row],[TRIMESTRE  I]:[TRIMESTRE IV]])</f>
        <v>30000</v>
      </c>
      <c r="N41" s="33" t="s">
        <v>17</v>
      </c>
      <c r="O41" s="13">
        <v>45658</v>
      </c>
      <c r="P41" s="28" t="s">
        <v>254</v>
      </c>
    </row>
    <row r="42" spans="1:16" ht="38.25" customHeight="1" x14ac:dyDescent="0.25">
      <c r="A42" s="3">
        <v>1120</v>
      </c>
      <c r="B42" s="34" t="s">
        <v>244</v>
      </c>
      <c r="C42" s="31">
        <v>530</v>
      </c>
      <c r="D42" s="50" t="str">
        <f>IF(C42&lt;=0,"",VLOOKUP(C42,[9]FF!A:D,2,0))</f>
        <v>PARTICIPACIONES Ramo 28</v>
      </c>
      <c r="E42" s="31" t="s">
        <v>247</v>
      </c>
      <c r="F42" s="32" t="s">
        <v>22</v>
      </c>
      <c r="G42" s="28">
        <v>351001</v>
      </c>
      <c r="H42" s="51" t="s">
        <v>255</v>
      </c>
      <c r="I42" s="26"/>
      <c r="J42" s="26">
        <v>52044</v>
      </c>
      <c r="K42" s="26">
        <v>0</v>
      </c>
      <c r="L42" s="26"/>
      <c r="M42" s="27">
        <f>Tabla116[[#This Row],[TRIMESTRE  I]]+Tabla116[[#This Row],[TRIMESTRE II]]+Tabla116[[#This Row],[TRIMESTRE III]]+Tabla116[[#This Row],[TRIMESTRE IV]]</f>
        <v>52044</v>
      </c>
      <c r="N42" s="33" t="s">
        <v>19</v>
      </c>
      <c r="O42" s="13">
        <v>45689</v>
      </c>
      <c r="P42" s="8" t="s">
        <v>256</v>
      </c>
    </row>
    <row r="43" spans="1:16" ht="38.25" x14ac:dyDescent="0.25">
      <c r="A43" s="3">
        <v>1121</v>
      </c>
      <c r="B43" s="34" t="s">
        <v>244</v>
      </c>
      <c r="C43" s="31">
        <v>530</v>
      </c>
      <c r="D43" s="50" t="str">
        <f>IF(C43&lt;=0,"",VLOOKUP(C43,[9]FF!A:D,2,0))</f>
        <v>PARTICIPACIONES Ramo 28</v>
      </c>
      <c r="E43" s="31" t="s">
        <v>249</v>
      </c>
      <c r="F43" s="32" t="s">
        <v>22</v>
      </c>
      <c r="G43" s="28">
        <v>351001</v>
      </c>
      <c r="H43" s="51" t="s">
        <v>255</v>
      </c>
      <c r="I43" s="26">
        <v>0</v>
      </c>
      <c r="J43" s="26">
        <v>75830</v>
      </c>
      <c r="K43" s="26">
        <v>0</v>
      </c>
      <c r="L43" s="26">
        <v>0</v>
      </c>
      <c r="M43" s="27">
        <f>Tabla116[[#This Row],[TRIMESTRE  I]]+Tabla116[[#This Row],[TRIMESTRE II]]+Tabla116[[#This Row],[TRIMESTRE III]]+Tabla116[[#This Row],[TRIMESTRE IV]]</f>
        <v>75830</v>
      </c>
      <c r="N43" s="33" t="s">
        <v>19</v>
      </c>
      <c r="O43" s="13">
        <v>45689</v>
      </c>
      <c r="P43" s="8" t="s">
        <v>256</v>
      </c>
    </row>
    <row r="44" spans="1:16" ht="24" x14ac:dyDescent="0.25">
      <c r="A44" s="30">
        <v>1119</v>
      </c>
      <c r="B44" s="34" t="s">
        <v>244</v>
      </c>
      <c r="C44" s="31">
        <v>530</v>
      </c>
      <c r="D44" s="50" t="s">
        <v>14</v>
      </c>
      <c r="E44" s="31" t="s">
        <v>246</v>
      </c>
      <c r="F44" s="7" t="s">
        <v>22</v>
      </c>
      <c r="G44" s="28"/>
      <c r="H44" s="51" t="s">
        <v>257</v>
      </c>
      <c r="I44" s="26">
        <v>0</v>
      </c>
      <c r="J44" s="26">
        <v>1000</v>
      </c>
      <c r="K44" s="26">
        <v>0</v>
      </c>
      <c r="L44" s="26">
        <v>0</v>
      </c>
      <c r="M44" s="27">
        <f>Tabla116[[#This Row],[TRIMESTRE  I]]+Tabla116[[#This Row],[TRIMESTRE II]]+Tabla116[[#This Row],[TRIMESTRE III]]+Tabla116[[#This Row],[TRIMESTRE IV]]</f>
        <v>1000</v>
      </c>
      <c r="N44" s="33" t="s">
        <v>30</v>
      </c>
      <c r="O44" s="60">
        <v>45658</v>
      </c>
      <c r="P44" s="28" t="s">
        <v>252</v>
      </c>
    </row>
    <row r="45" spans="1:16" ht="41.25" customHeight="1" x14ac:dyDescent="0.25">
      <c r="A45" s="30">
        <v>1120</v>
      </c>
      <c r="B45" s="34" t="s">
        <v>244</v>
      </c>
      <c r="C45" s="31">
        <v>530</v>
      </c>
      <c r="D45" s="50" t="s">
        <v>14</v>
      </c>
      <c r="E45" s="31" t="s">
        <v>247</v>
      </c>
      <c r="F45" s="7" t="s">
        <v>22</v>
      </c>
      <c r="G45" s="28"/>
      <c r="H45" s="51" t="s">
        <v>257</v>
      </c>
      <c r="I45" s="26">
        <v>0</v>
      </c>
      <c r="J45" s="26">
        <v>12000</v>
      </c>
      <c r="K45" s="26">
        <v>0</v>
      </c>
      <c r="L45" s="26">
        <v>0</v>
      </c>
      <c r="M45" s="27">
        <f>Tabla116[[#This Row],[TRIMESTRE  I]]+Tabla116[[#This Row],[TRIMESTRE II]]+Tabla116[[#This Row],[TRIMESTRE III]]+Tabla116[[#This Row],[TRIMESTRE IV]]</f>
        <v>12000</v>
      </c>
      <c r="N45" s="33" t="s">
        <v>30</v>
      </c>
      <c r="O45" s="60">
        <v>45659</v>
      </c>
      <c r="P45" s="28" t="s">
        <v>258</v>
      </c>
    </row>
    <row r="46" spans="1:16" ht="38.25" x14ac:dyDescent="0.25">
      <c r="A46" s="31">
        <v>1121</v>
      </c>
      <c r="B46" s="34" t="s">
        <v>244</v>
      </c>
      <c r="C46" s="31">
        <v>530</v>
      </c>
      <c r="D46" s="50" t="s">
        <v>14</v>
      </c>
      <c r="E46" s="31" t="s">
        <v>249</v>
      </c>
      <c r="F46" s="7" t="s">
        <v>22</v>
      </c>
      <c r="G46" s="28"/>
      <c r="H46" s="51" t="s">
        <v>257</v>
      </c>
      <c r="I46" s="26">
        <v>0</v>
      </c>
      <c r="J46" s="26">
        <v>12000</v>
      </c>
      <c r="K46" s="26">
        <v>0</v>
      </c>
      <c r="L46" s="26">
        <v>0</v>
      </c>
      <c r="M46" s="27">
        <f>Tabla116[[#This Row],[TRIMESTRE  I]]+Tabla116[[#This Row],[TRIMESTRE II]]+Tabla116[[#This Row],[TRIMESTRE III]]+Tabla116[[#This Row],[TRIMESTRE IV]]</f>
        <v>12000</v>
      </c>
      <c r="N46" s="33" t="s">
        <v>30</v>
      </c>
      <c r="O46" s="60">
        <v>45660</v>
      </c>
      <c r="P46" s="28" t="s">
        <v>259</v>
      </c>
    </row>
    <row r="47" spans="1:16" x14ac:dyDescent="0.25">
      <c r="A47" s="30"/>
      <c r="B47" s="34"/>
      <c r="C47" s="31"/>
      <c r="D47" s="24" t="str">
        <f>IF(C47&lt;=0,"",VLOOKUP(C47,[9]FF!A:D,2,0))</f>
        <v/>
      </c>
      <c r="E47" s="31"/>
      <c r="F47" s="32"/>
      <c r="G47" s="28"/>
      <c r="H47" s="25" t="str">
        <f>IF(G47&lt;=0,"",VLOOKUP(G47,[9]COG!A:H,2,0))</f>
        <v/>
      </c>
      <c r="I47" s="26"/>
      <c r="J47" s="26"/>
      <c r="K47" s="26"/>
      <c r="L47" s="26"/>
      <c r="M47" s="27">
        <f>SUM(Tabla116[[#This Row],[TRIMESTRE  I]:[TRIMESTRE IV]])</f>
        <v>0</v>
      </c>
      <c r="N47" s="33"/>
      <c r="O47" s="33"/>
      <c r="P47" s="28"/>
    </row>
    <row r="48" spans="1:16" x14ac:dyDescent="0.25">
      <c r="A48" s="30"/>
      <c r="B48" s="34"/>
      <c r="C48" s="31"/>
      <c r="D48" s="24" t="str">
        <f>IF(C48&lt;=0,"",VLOOKUP(C48,[9]FF!A:D,2,0))</f>
        <v/>
      </c>
      <c r="E48" s="31"/>
      <c r="F48" s="32"/>
      <c r="G48" s="28"/>
      <c r="H48" s="25" t="str">
        <f>IF(G48&lt;=0,"",VLOOKUP(G48,[9]COG!A:H,2,0))</f>
        <v/>
      </c>
      <c r="I48" s="26"/>
      <c r="J48" s="26"/>
      <c r="K48" s="26"/>
      <c r="L48" s="26"/>
      <c r="M48" s="27">
        <f>SUM(Tabla116[[#This Row],[TRIMESTRE  I]:[TRIMESTRE IV]])</f>
        <v>0</v>
      </c>
      <c r="N48" s="33"/>
      <c r="O48" s="33"/>
      <c r="P48" s="28"/>
    </row>
    <row r="49" spans="1:16" x14ac:dyDescent="0.25">
      <c r="A49" s="30"/>
      <c r="B49" s="34"/>
      <c r="C49" s="31"/>
      <c r="D49" s="24" t="str">
        <f>IF(C49&lt;=0,"",VLOOKUP(C49,[9]FF!A:D,2,0))</f>
        <v/>
      </c>
      <c r="E49" s="31"/>
      <c r="F49" s="32"/>
      <c r="G49" s="28"/>
      <c r="H49" s="25" t="str">
        <f>IF(G49&lt;=0,"",VLOOKUP(G49,[9]COG!A:H,2,0))</f>
        <v/>
      </c>
      <c r="I49" s="26"/>
      <c r="J49" s="26"/>
      <c r="K49" s="26"/>
      <c r="L49" s="26"/>
      <c r="M49" s="27">
        <f>SUM(Tabla116[[#This Row],[TRIMESTRE  I]:[TRIMESTRE IV]])</f>
        <v>0</v>
      </c>
      <c r="N49" s="33"/>
      <c r="O49" s="33"/>
      <c r="P49" s="28"/>
    </row>
    <row r="50" spans="1:16" x14ac:dyDescent="0.25">
      <c r="A50" s="3"/>
      <c r="B50" s="4"/>
      <c r="C50" s="5"/>
      <c r="D50" s="6" t="str">
        <f>IF(C50&lt;=0,"",VLOOKUP(C50,[9]FF!A:D,2,0))</f>
        <v/>
      </c>
      <c r="E50" s="5"/>
      <c r="F50" s="7"/>
      <c r="G50" s="8"/>
      <c r="H50" s="9" t="str">
        <f>IF(G50&lt;=0,"",VLOOKUP(G50,[9]COG!A:H,2,0))</f>
        <v/>
      </c>
      <c r="I50" s="10"/>
      <c r="J50" s="10"/>
      <c r="K50" s="10"/>
      <c r="L50" s="10"/>
      <c r="M50" s="11">
        <f>SUM(Tabla116[[#This Row],[TRIMESTRE  I]:[TRIMESTRE IV]])</f>
        <v>0</v>
      </c>
      <c r="N50" s="12"/>
      <c r="O50" s="13"/>
      <c r="P50" s="8"/>
    </row>
    <row r="51" spans="1:16" s="1" customFormat="1" ht="37.5" customHeight="1" thickBot="1" x14ac:dyDescent="0.25">
      <c r="A51" s="97"/>
      <c r="B51" s="98"/>
      <c r="C51" s="99"/>
      <c r="D51" s="100"/>
      <c r="E51" s="99"/>
      <c r="F51" s="99"/>
      <c r="G51" s="101"/>
      <c r="H51" s="102" t="s">
        <v>32</v>
      </c>
      <c r="I51" s="103"/>
      <c r="J51" s="103"/>
      <c r="K51" s="104"/>
      <c r="L51" s="103"/>
      <c r="M51" s="105">
        <f>SUBTOTAL(109,Tabla116[[PRESUPUESTO ANUAL AUTORIZADO ]])</f>
        <v>4364685</v>
      </c>
      <c r="N51" s="103"/>
      <c r="O51" s="103"/>
      <c r="P51" s="101"/>
    </row>
    <row r="52" spans="1:16" ht="15.75" thickTop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</sheetData>
  <protectedRanges>
    <protectedRange algorithmName="SHA-512" hashValue="CVDb5J/0TlFD03lqit9XaA7LbCMGvWLCsduA3v8dImZEGhWfzgZ6Dg6bkjbAbJm1bYAcMLcpovU/dJmuMze5jw==" saltValue="QZ4X9aU2cO4/tAPW6011Dw==" spinCount="100000" sqref="P9:P12 P39:P40 N6 N5:O5 P19:P22 N31:O40 N30:P30 N9:N29 O6:O29 N41:P51" name="EDITABLE 4_4"/>
    <protectedRange algorithmName="SHA-512" hashValue="ytsoXFfC1+WmXVaa1/e6XfcZ7vPjNmSnuZe33NqN4NcqbRxNJdzSGuklMRpskJNPYNNz1yZQe585JE4aSLisOg==" saltValue="/jSLFmNX0mB2vn2qhSJbtw==" spinCount="100000" sqref="I5:L6 I9:L51" name="EDITABLE 3_1"/>
    <protectedRange algorithmName="SHA-512" hashValue="pJNw8ysPJcfMEDlzTgza0siiHuU4FkUpIzbuTX325DFaYD5nL5ng0z0JoIGpE+CYch2hq/LccMqSM51MpHojPQ==" saltValue="xv9nj4u85CXs/Kmy5tmlKw==" spinCount="100000" sqref="G20:G22 E20:F20 E5:G6 E9:G19 E23:G51" name="EDITABLE 2_1"/>
    <protectedRange algorithmName="SHA-512" hashValue="Lst7hsT/mUUQvFsOUalIdMZhSjExDj/C7u4r1gIjHREwBj16N7lqODQ0CY6n+RXalo774Zm4aYZKVBS0n4XIeg==" saltValue="KfnRR/cqfK967zBK52Zr6A==" spinCount="100000" sqref="A20:A22 B9:C15 B6:C6 A6:A15 A5:C5 B20:C20 A16:C19 A23:C51" name="EDITABLE 1_1"/>
    <protectedRange algorithmName="SHA-512" hashValue="CVDb5J/0TlFD03lqit9XaA7LbCMGvWLCsduA3v8dImZEGhWfzgZ6Dg6bkjbAbJm1bYAcMLcpovU/dJmuMze5jw==" saltValue="QZ4X9aU2cO4/tAPW6011Dw==" spinCount="100000" sqref="P5 P15:P18 P31:P38 P23:P29" name="EDITABLE 4_1_1"/>
    <protectedRange algorithmName="SHA-512" hashValue="CVDb5J/0TlFD03lqit9XaA7LbCMGvWLCsduA3v8dImZEGhWfzgZ6Dg6bkjbAbJm1bYAcMLcpovU/dJmuMze5jw==" saltValue="QZ4X9aU2cO4/tAPW6011Dw==" spinCount="100000" sqref="P6:P8" name="EDITABLE 4_2_1"/>
    <protectedRange algorithmName="SHA-512" hashValue="CVDb5J/0TlFD03lqit9XaA7LbCMGvWLCsduA3v8dImZEGhWfzgZ6Dg6bkjbAbJm1bYAcMLcpovU/dJmuMze5jw==" saltValue="QZ4X9aU2cO4/tAPW6011Dw==" spinCount="100000" sqref="P13:P14" name="EDITABLE 4_5_1"/>
    <protectedRange algorithmName="SHA-512" hashValue="CVDb5J/0TlFD03lqit9XaA7LbCMGvWLCsduA3v8dImZEGhWfzgZ6Dg6bkjbAbJm1bYAcMLcpovU/dJmuMze5jw==" saltValue="QZ4X9aU2cO4/tAPW6011Dw==" spinCount="100000" sqref="O42:P43" name="EDITABLE 4_3_1"/>
  </protectedRanges>
  <mergeCells count="3">
    <mergeCell ref="A1:P1"/>
    <mergeCell ref="A2:P2"/>
    <mergeCell ref="A3:P3"/>
  </mergeCells>
  <dataValidations count="2">
    <dataValidation type="list" allowBlank="1" showInputMessage="1" showErrorMessage="1" sqref="G5:G6 G9:G50" xr:uid="{A103680D-114E-4FE6-8D93-098D46802014}">
      <formula1>INDIRECT(F5)</formula1>
    </dataValidation>
    <dataValidation type="list" allowBlank="1" showInputMessage="1" showErrorMessage="1" sqref="F5:F6 F9:F20 F23:F50" xr:uid="{6F2676D6-16BC-40E7-8DFD-A53D82FFADDA}">
      <formula1>CAPITULOS</formula1>
    </dataValidation>
  </dataValidations>
  <pageMargins left="0.70866141732283472" right="0.70866141732283472" top="0.74803149606299213" bottom="0.74803149606299213" header="0.31496062992125984" footer="0.31496062992125984"/>
  <pageSetup paperSize="5" scale="67" fitToHeight="0" orientation="landscape" r:id="rId1"/>
  <drawing r:id="rId2"/>
  <tableParts count="1">
    <tablePart r:id="rId3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B8623F-4B53-4D65-B18F-D6780AFDA233}">
  <sheetPr>
    <tabColor rgb="FF00B050"/>
    <pageSetUpPr fitToPage="1"/>
  </sheetPr>
  <dimension ref="A1:P24"/>
  <sheetViews>
    <sheetView zoomScaleNormal="100" workbookViewId="0">
      <pane ySplit="4" topLeftCell="A14" activePane="bottomLeft" state="frozen"/>
      <selection activeCell="J130" sqref="J130"/>
      <selection pane="bottomLeft" activeCell="L24" sqref="L24"/>
    </sheetView>
  </sheetViews>
  <sheetFormatPr baseColWidth="10" defaultColWidth="11.42578125" defaultRowHeight="37.5" customHeight="1" x14ac:dyDescent="0.2"/>
  <cols>
    <col min="1" max="1" width="9.85546875" style="1" customWidth="1"/>
    <col min="2" max="2" width="14.7109375" style="1" customWidth="1"/>
    <col min="3" max="3" width="13.28515625" style="1" customWidth="1"/>
    <col min="4" max="4" width="20" style="1" customWidth="1"/>
    <col min="5" max="5" width="13.85546875" style="1" customWidth="1"/>
    <col min="6" max="6" width="10.28515625" style="1" customWidth="1"/>
    <col min="7" max="7" width="9.5703125" style="1" customWidth="1"/>
    <col min="8" max="8" width="39.28515625" style="1" customWidth="1"/>
    <col min="9" max="12" width="13.7109375" style="1" bestFit="1" customWidth="1"/>
    <col min="13" max="13" width="16.28515625" style="1" customWidth="1"/>
    <col min="14" max="14" width="24.85546875" style="1" customWidth="1"/>
    <col min="15" max="15" width="17.5703125" style="1" customWidth="1"/>
    <col min="16" max="16" width="16.42578125" style="1" customWidth="1"/>
    <col min="17" max="16384" width="11.42578125" style="1"/>
  </cols>
  <sheetData>
    <row r="1" spans="1:16" ht="22.5" customHeight="1" x14ac:dyDescent="0.2">
      <c r="A1" s="115" t="s">
        <v>24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</row>
    <row r="2" spans="1:16" ht="26.25" customHeight="1" x14ac:dyDescent="0.2">
      <c r="A2" s="116" t="s">
        <v>283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</row>
    <row r="3" spans="1:16" ht="32.25" customHeight="1" x14ac:dyDescent="0.2">
      <c r="A3" s="117" t="s">
        <v>25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</row>
    <row r="4" spans="1:16" s="2" customFormat="1" ht="48" customHeight="1" x14ac:dyDescent="0.2">
      <c r="A4" s="72" t="s">
        <v>0</v>
      </c>
      <c r="B4" s="72" t="s">
        <v>1</v>
      </c>
      <c r="C4" s="72" t="s">
        <v>2</v>
      </c>
      <c r="D4" s="72" t="s">
        <v>3</v>
      </c>
      <c r="E4" s="72" t="s">
        <v>4</v>
      </c>
      <c r="F4" s="72" t="s">
        <v>5</v>
      </c>
      <c r="G4" s="72" t="s">
        <v>6</v>
      </c>
      <c r="H4" s="72" t="s">
        <v>7</v>
      </c>
      <c r="I4" s="72" t="s">
        <v>26</v>
      </c>
      <c r="J4" s="72" t="s">
        <v>8</v>
      </c>
      <c r="K4" s="72" t="s">
        <v>9</v>
      </c>
      <c r="L4" s="72" t="s">
        <v>10</v>
      </c>
      <c r="M4" s="72" t="s">
        <v>27</v>
      </c>
      <c r="N4" s="72" t="s">
        <v>11</v>
      </c>
      <c r="O4" s="72" t="s">
        <v>12</v>
      </c>
      <c r="P4" s="72" t="s">
        <v>13</v>
      </c>
    </row>
    <row r="5" spans="1:16" s="71" customFormat="1" ht="37.5" customHeight="1" x14ac:dyDescent="0.2">
      <c r="A5" s="3">
        <v>1420</v>
      </c>
      <c r="B5" s="4" t="s">
        <v>284</v>
      </c>
      <c r="C5" s="5">
        <v>530</v>
      </c>
      <c r="D5" s="6" t="str">
        <f>IF(C5&lt;=0,"",VLOOKUP(C5,[13]FF!A:D,2,0))</f>
        <v>PARTICIPACIONES Ramo 28</v>
      </c>
      <c r="E5" s="5" t="s">
        <v>285</v>
      </c>
      <c r="F5" s="7" t="s">
        <v>15</v>
      </c>
      <c r="G5" s="8">
        <v>211001</v>
      </c>
      <c r="H5" s="9" t="str">
        <f>IF(G5&lt;=0,"",VLOOKUP(G5,[13]COG!A:H,2,0))</f>
        <v>Material de oficina</v>
      </c>
      <c r="I5" s="10">
        <f>+Tabla118[[#This Row],[PRESUPUESTO ANUAL AUTORIZADO ]]/4</f>
        <v>571258.21750000003</v>
      </c>
      <c r="J5" s="10">
        <f>+Tabla118[[#This Row],[PRESUPUESTO ANUAL AUTORIZADO ]]/4</f>
        <v>571258.21750000003</v>
      </c>
      <c r="K5" s="10">
        <f>+Tabla118[[#This Row],[PRESUPUESTO ANUAL AUTORIZADO ]]/4</f>
        <v>571258.21750000003</v>
      </c>
      <c r="L5" s="10">
        <f>+Tabla118[[#This Row],[PRESUPUESTO ANUAL AUTORIZADO ]]/4</f>
        <v>571258.21750000003</v>
      </c>
      <c r="M5" s="41">
        <v>2285032.87</v>
      </c>
      <c r="N5" s="12" t="s">
        <v>17</v>
      </c>
      <c r="O5" s="42">
        <v>45717</v>
      </c>
      <c r="P5" s="86" t="s">
        <v>286</v>
      </c>
    </row>
    <row r="6" spans="1:16" s="71" customFormat="1" ht="37.5" customHeight="1" x14ac:dyDescent="0.2">
      <c r="A6" s="3">
        <v>1420</v>
      </c>
      <c r="B6" s="4" t="s">
        <v>284</v>
      </c>
      <c r="C6" s="5">
        <v>530</v>
      </c>
      <c r="D6" s="6" t="str">
        <f>IF(C6&lt;=0,"",VLOOKUP(C6,[13]FF!A:D,2,0))</f>
        <v>PARTICIPACIONES Ramo 28</v>
      </c>
      <c r="E6" s="5" t="s">
        <v>285</v>
      </c>
      <c r="F6" s="7" t="s">
        <v>15</v>
      </c>
      <c r="G6" s="8">
        <v>213001</v>
      </c>
      <c r="H6" s="9" t="str">
        <f>IF(G6&lt;=0,"",VLOOKUP(G6,[13]COG!A:H,2,0))</f>
        <v>Material estadístico y geográfico</v>
      </c>
      <c r="I6" s="10">
        <f>Tabla118[[#This Row],[PRESUPUESTO ANUAL AUTORIZADO ]]/4</f>
        <v>301000</v>
      </c>
      <c r="J6" s="10">
        <f>Tabla118[[#This Row],[PRESUPUESTO ANUAL AUTORIZADO ]]/4</f>
        <v>301000</v>
      </c>
      <c r="K6" s="10">
        <f>Tabla118[[#This Row],[PRESUPUESTO ANUAL AUTORIZADO ]]/4</f>
        <v>301000</v>
      </c>
      <c r="L6" s="10">
        <f>Tabla118[[#This Row],[PRESUPUESTO ANUAL AUTORIZADO ]]/4</f>
        <v>301000</v>
      </c>
      <c r="M6" s="41">
        <v>1204000</v>
      </c>
      <c r="N6" s="12" t="s">
        <v>20</v>
      </c>
      <c r="O6" s="42">
        <v>45778</v>
      </c>
      <c r="P6" s="86" t="s">
        <v>287</v>
      </c>
    </row>
    <row r="7" spans="1:16" s="71" customFormat="1" ht="37.5" customHeight="1" x14ac:dyDescent="0.2">
      <c r="A7" s="3">
        <v>1420</v>
      </c>
      <c r="B7" s="4" t="s">
        <v>284</v>
      </c>
      <c r="C7" s="5">
        <v>530</v>
      </c>
      <c r="D7" s="6" t="str">
        <f>IF(C7&lt;=0,"",VLOOKUP(C7,[13]FF!A:D,2,0))</f>
        <v>PARTICIPACIONES Ramo 28</v>
      </c>
      <c r="E7" s="5" t="s">
        <v>285</v>
      </c>
      <c r="F7" s="7" t="s">
        <v>15</v>
      </c>
      <c r="G7" s="8">
        <v>216001</v>
      </c>
      <c r="H7" s="9" t="str">
        <f>IF(G7&lt;=0,"",VLOOKUP(G7,[13]COG!A:H,2,0))</f>
        <v>Material de limpieza</v>
      </c>
      <c r="I7" s="10">
        <f>+Tabla118[[#This Row],[PRESUPUESTO ANUAL AUTORIZADO ]]/4</f>
        <v>448158.57750000001</v>
      </c>
      <c r="J7" s="10">
        <f>+Tabla118[[#This Row],[PRESUPUESTO ANUAL AUTORIZADO ]]/4</f>
        <v>448158.57750000001</v>
      </c>
      <c r="K7" s="10">
        <f>+Tabla118[[#This Row],[PRESUPUESTO ANUAL AUTORIZADO ]]/4</f>
        <v>448158.57750000001</v>
      </c>
      <c r="L7" s="10">
        <f>+Tabla118[[#This Row],[PRESUPUESTO ANUAL AUTORIZADO ]]/4</f>
        <v>448158.57750000001</v>
      </c>
      <c r="M7" s="41">
        <v>1792634.31</v>
      </c>
      <c r="N7" s="12" t="s">
        <v>17</v>
      </c>
      <c r="O7" s="42">
        <v>45717</v>
      </c>
      <c r="P7" s="86" t="s">
        <v>286</v>
      </c>
    </row>
    <row r="8" spans="1:16" s="71" customFormat="1" ht="37.5" customHeight="1" x14ac:dyDescent="0.2">
      <c r="A8" s="3">
        <v>1420</v>
      </c>
      <c r="B8" s="4" t="s">
        <v>284</v>
      </c>
      <c r="C8" s="5">
        <v>530</v>
      </c>
      <c r="D8" s="6" t="str">
        <f>IF(C8&lt;=0,"",VLOOKUP(C8,[13]FF!A:D,2,0))</f>
        <v>PARTICIPACIONES Ramo 28</v>
      </c>
      <c r="E8" s="5" t="s">
        <v>285</v>
      </c>
      <c r="F8" s="7" t="s">
        <v>15</v>
      </c>
      <c r="G8" s="8">
        <v>261001</v>
      </c>
      <c r="H8" s="9" t="str">
        <f>IF(G8&lt;=0,"",VLOOKUP(G8,[13]COG!A:H,2,0))</f>
        <v>Combustibles</v>
      </c>
      <c r="I8" s="10">
        <f>+Tabla118[[#This Row],[PRESUPUESTO ANUAL AUTORIZADO ]]/4</f>
        <v>6262697.5</v>
      </c>
      <c r="J8" s="10">
        <f>+Tabla118[[#This Row],[PRESUPUESTO ANUAL AUTORIZADO ]]/4</f>
        <v>6262697.5</v>
      </c>
      <c r="K8" s="10">
        <f>+Tabla118[[#This Row],[PRESUPUESTO ANUAL AUTORIZADO ]]/4</f>
        <v>6262697.5</v>
      </c>
      <c r="L8" s="10">
        <f>+Tabla118[[#This Row],[PRESUPUESTO ANUAL AUTORIZADO ]]/4</f>
        <v>6262697.5</v>
      </c>
      <c r="M8" s="41">
        <v>25050790</v>
      </c>
      <c r="N8" s="12" t="s">
        <v>17</v>
      </c>
      <c r="O8" s="42">
        <v>45627</v>
      </c>
      <c r="P8" s="86" t="s">
        <v>286</v>
      </c>
    </row>
    <row r="9" spans="1:16" s="71" customFormat="1" ht="37.5" customHeight="1" x14ac:dyDescent="0.2">
      <c r="A9" s="3">
        <v>1420</v>
      </c>
      <c r="B9" s="4" t="s">
        <v>284</v>
      </c>
      <c r="C9" s="5">
        <v>530</v>
      </c>
      <c r="D9" s="6" t="str">
        <f>IF(C9&lt;=0,"",VLOOKUP(C9,[13]FF!A:D,2,0))</f>
        <v>PARTICIPACIONES Ramo 28</v>
      </c>
      <c r="E9" s="5" t="s">
        <v>288</v>
      </c>
      <c r="F9" s="7" t="s">
        <v>15</v>
      </c>
      <c r="G9" s="8">
        <v>222001</v>
      </c>
      <c r="H9" s="9" t="str">
        <f>IF(G9&lt;=0,"",VLOOKUP(G9,[13]COG!A:H,2,0))</f>
        <v>Alimentación de animales</v>
      </c>
      <c r="I9" s="10">
        <f>Tabla118[[#This Row],[PRESUPUESTO ANUAL AUTORIZADO ]]/4</f>
        <v>51350</v>
      </c>
      <c r="J9" s="10">
        <f>Tabla118[[#This Row],[PRESUPUESTO ANUAL AUTORIZADO ]]/4</f>
        <v>51350</v>
      </c>
      <c r="K9" s="10">
        <f>Tabla118[[#This Row],[PRESUPUESTO ANUAL AUTORIZADO ]]/4</f>
        <v>51350</v>
      </c>
      <c r="L9" s="10">
        <f>Tabla118[[#This Row],[PRESUPUESTO ANUAL AUTORIZADO ]]/4</f>
        <v>51350</v>
      </c>
      <c r="M9" s="41">
        <v>205400</v>
      </c>
      <c r="N9" s="12" t="s">
        <v>19</v>
      </c>
      <c r="O9" s="42">
        <v>45778</v>
      </c>
      <c r="P9" s="86" t="s">
        <v>289</v>
      </c>
    </row>
    <row r="10" spans="1:16" s="71" customFormat="1" ht="37.5" customHeight="1" x14ac:dyDescent="0.2">
      <c r="A10" s="3">
        <v>1420</v>
      </c>
      <c r="B10" s="4" t="s">
        <v>284</v>
      </c>
      <c r="C10" s="5">
        <v>530</v>
      </c>
      <c r="D10" s="6" t="str">
        <f>IF(C10&lt;=0,"",VLOOKUP(C10,[13]FF!A:D,2,0))</f>
        <v>PARTICIPACIONES Ramo 28</v>
      </c>
      <c r="E10" s="5" t="s">
        <v>290</v>
      </c>
      <c r="F10" s="7" t="s">
        <v>15</v>
      </c>
      <c r="G10" s="8">
        <v>221001</v>
      </c>
      <c r="H10" s="9" t="str">
        <f>IF(G10&lt;=0,"",VLOOKUP(G10,[13]COG!A:H,2,0))</f>
        <v>Alimentación de personas</v>
      </c>
      <c r="I10" s="10">
        <f>+Tabla118[[#This Row],[PRESUPUESTO ANUAL AUTORIZADO ]]/4</f>
        <v>18087352.25</v>
      </c>
      <c r="J10" s="10">
        <f>+Tabla118[[#This Row],[PRESUPUESTO ANUAL AUTORIZADO ]]/4</f>
        <v>18087352.25</v>
      </c>
      <c r="K10" s="10">
        <f>+Tabla118[[#This Row],[PRESUPUESTO ANUAL AUTORIZADO ]]/4</f>
        <v>18087352.25</v>
      </c>
      <c r="L10" s="10">
        <f>+Tabla118[[#This Row],[PRESUPUESTO ANUAL AUTORIZADO ]]/4</f>
        <v>18087352.25</v>
      </c>
      <c r="M10" s="41">
        <v>72349409</v>
      </c>
      <c r="N10" s="12" t="s">
        <v>19</v>
      </c>
      <c r="O10" s="42">
        <v>45658</v>
      </c>
      <c r="P10" s="86" t="s">
        <v>289</v>
      </c>
    </row>
    <row r="11" spans="1:16" s="71" customFormat="1" ht="37.5" customHeight="1" x14ac:dyDescent="0.2">
      <c r="A11" s="3">
        <v>1420</v>
      </c>
      <c r="B11" s="4" t="s">
        <v>284</v>
      </c>
      <c r="C11" s="5">
        <v>530</v>
      </c>
      <c r="D11" s="6" t="str">
        <f>IF(C11&lt;=0,"",VLOOKUP(C11,[13]FF!A:D,2,0))</f>
        <v>PARTICIPACIONES Ramo 28</v>
      </c>
      <c r="E11" s="5" t="s">
        <v>285</v>
      </c>
      <c r="F11" s="7" t="s">
        <v>22</v>
      </c>
      <c r="G11" s="8">
        <v>323001</v>
      </c>
      <c r="H11" s="9" t="str">
        <f>IF(G11&lt;=0,"",VLOOKUP(G11,[13]COG!A:H,2,0))</f>
        <v>Arrendamiento de maquinaria y equipo</v>
      </c>
      <c r="I11" s="10">
        <f>+Tabla118[[#This Row],[PRESUPUESTO ANUAL AUTORIZADO ]]/4</f>
        <v>458678.82</v>
      </c>
      <c r="J11" s="10">
        <f>+Tabla118[[#This Row],[PRESUPUESTO ANUAL AUTORIZADO ]]/4</f>
        <v>458678.82</v>
      </c>
      <c r="K11" s="10">
        <f>+Tabla118[[#This Row],[PRESUPUESTO ANUAL AUTORIZADO ]]/4</f>
        <v>458678.82</v>
      </c>
      <c r="L11" s="10">
        <f>+Tabla118[[#This Row],[PRESUPUESTO ANUAL AUTORIZADO ]]/4</f>
        <v>458678.82</v>
      </c>
      <c r="M11" s="41">
        <v>1834715.28</v>
      </c>
      <c r="N11" s="12" t="s">
        <v>17</v>
      </c>
      <c r="O11" s="42">
        <v>45627</v>
      </c>
      <c r="P11" s="86" t="s">
        <v>286</v>
      </c>
    </row>
    <row r="12" spans="1:16" s="71" customFormat="1" ht="37.5" customHeight="1" x14ac:dyDescent="0.2">
      <c r="A12" s="3">
        <v>1420</v>
      </c>
      <c r="B12" s="4" t="s">
        <v>284</v>
      </c>
      <c r="C12" s="5">
        <v>530</v>
      </c>
      <c r="D12" s="6" t="str">
        <f>IF(C12&lt;=0,"",VLOOKUP(C12,[13]FF!A:D,2,0))</f>
        <v>PARTICIPACIONES Ramo 28</v>
      </c>
      <c r="E12" s="5" t="s">
        <v>285</v>
      </c>
      <c r="F12" s="7" t="s">
        <v>22</v>
      </c>
      <c r="G12" s="8">
        <v>371001</v>
      </c>
      <c r="H12" s="9" t="str">
        <f>IF(G12&lt;=0,"",VLOOKUP(G12,[13]COG!A:H,2,0))</f>
        <v>Pasajes aéreos</v>
      </c>
      <c r="I12" s="10">
        <f>+Tabla118[[#This Row],[PRESUPUESTO ANUAL AUTORIZADO ]]/4</f>
        <v>315042.5</v>
      </c>
      <c r="J12" s="10">
        <f>+Tabla118[[#This Row],[PRESUPUESTO ANUAL AUTORIZADO ]]/4</f>
        <v>315042.5</v>
      </c>
      <c r="K12" s="10">
        <f>+Tabla118[[#This Row],[PRESUPUESTO ANUAL AUTORIZADO ]]/4</f>
        <v>315042.5</v>
      </c>
      <c r="L12" s="10">
        <f>+Tabla118[[#This Row],[PRESUPUESTO ANUAL AUTORIZADO ]]/4</f>
        <v>315042.5</v>
      </c>
      <c r="M12" s="41">
        <v>1260170</v>
      </c>
      <c r="N12" s="12" t="s">
        <v>17</v>
      </c>
      <c r="O12" s="42">
        <v>45597</v>
      </c>
      <c r="P12" s="86" t="s">
        <v>291</v>
      </c>
    </row>
    <row r="13" spans="1:16" s="71" customFormat="1" ht="37.5" customHeight="1" x14ac:dyDescent="0.2">
      <c r="A13" s="3">
        <v>1420</v>
      </c>
      <c r="B13" s="4" t="s">
        <v>284</v>
      </c>
      <c r="C13" s="5">
        <v>530</v>
      </c>
      <c r="D13" s="6" t="str">
        <f>IF(C13&lt;=0,"",VLOOKUP(C13,[13]FF!A:D,2,0))</f>
        <v>PARTICIPACIONES Ramo 28</v>
      </c>
      <c r="E13" s="5" t="s">
        <v>285</v>
      </c>
      <c r="F13" s="7" t="s">
        <v>22</v>
      </c>
      <c r="G13" s="8">
        <v>345001</v>
      </c>
      <c r="H13" s="9" t="str">
        <f>IF(G13&lt;=0,"",VLOOKUP(G13,[13]COG!A:H,2,0))</f>
        <v>Seguros</v>
      </c>
      <c r="I13" s="10">
        <f>+Tabla118[[#This Row],[PRESUPUESTO ANUAL AUTORIZADO ]]/4</f>
        <v>821196.45499999996</v>
      </c>
      <c r="J13" s="10">
        <f>+Tabla118[[#This Row],[PRESUPUESTO ANUAL AUTORIZADO ]]/4</f>
        <v>821196.45499999996</v>
      </c>
      <c r="K13" s="10">
        <f>+Tabla118[[#This Row],[PRESUPUESTO ANUAL AUTORIZADO ]]/4</f>
        <v>821196.45499999996</v>
      </c>
      <c r="L13" s="10">
        <f>+Tabla118[[#This Row],[PRESUPUESTO ANUAL AUTORIZADO ]]/4</f>
        <v>821196.45499999996</v>
      </c>
      <c r="M13" s="41">
        <v>3284785.82</v>
      </c>
      <c r="N13" s="12" t="s">
        <v>17</v>
      </c>
      <c r="O13" s="42">
        <v>45627</v>
      </c>
      <c r="P13" s="86" t="s">
        <v>286</v>
      </c>
    </row>
    <row r="14" spans="1:16" s="71" customFormat="1" ht="37.5" customHeight="1" x14ac:dyDescent="0.2">
      <c r="A14" s="3">
        <v>1420</v>
      </c>
      <c r="B14" s="4" t="s">
        <v>284</v>
      </c>
      <c r="C14" s="5">
        <v>530</v>
      </c>
      <c r="D14" s="6" t="str">
        <f>IF(C14&lt;=0,"",VLOOKUP(C14,[13]FF!A:D,2,0))</f>
        <v>PARTICIPACIONES Ramo 28</v>
      </c>
      <c r="E14" s="5" t="s">
        <v>292</v>
      </c>
      <c r="F14" s="7" t="s">
        <v>22</v>
      </c>
      <c r="G14" s="8">
        <v>338001</v>
      </c>
      <c r="H14" s="9" t="str">
        <f>IF(G14&lt;=0,"",VLOOKUP(G14,[13]COG!A:H,2,0))</f>
        <v>Servicio de seguridad privada</v>
      </c>
      <c r="I14" s="10">
        <f>+Tabla118[[#This Row],[PRESUPUESTO ANUAL AUTORIZADO ]]/4</f>
        <v>592650</v>
      </c>
      <c r="J14" s="10">
        <f>+Tabla118[[#This Row],[PRESUPUESTO ANUAL AUTORIZADO ]]/4</f>
        <v>592650</v>
      </c>
      <c r="K14" s="10">
        <f>+Tabla118[[#This Row],[PRESUPUESTO ANUAL AUTORIZADO ]]/4</f>
        <v>592650</v>
      </c>
      <c r="L14" s="10">
        <f>+Tabla118[[#This Row],[PRESUPUESTO ANUAL AUTORIZADO ]]/4</f>
        <v>592650</v>
      </c>
      <c r="M14" s="41">
        <v>2370600</v>
      </c>
      <c r="N14" s="12" t="s">
        <v>17</v>
      </c>
      <c r="O14" s="42">
        <v>45627</v>
      </c>
      <c r="P14" s="86" t="s">
        <v>286</v>
      </c>
    </row>
    <row r="15" spans="1:16" s="71" customFormat="1" ht="45.75" customHeight="1" x14ac:dyDescent="0.2">
      <c r="A15" s="3"/>
      <c r="B15" s="4" t="s">
        <v>284</v>
      </c>
      <c r="C15" s="5">
        <v>530</v>
      </c>
      <c r="D15" s="6" t="str">
        <f>IF(C15&lt;=0,"",VLOOKUP(C15,[13]FF!A:D,2,0))</f>
        <v>PARTICIPACIONES Ramo 28</v>
      </c>
      <c r="E15" s="5" t="s">
        <v>285</v>
      </c>
      <c r="F15" s="7" t="s">
        <v>15</v>
      </c>
      <c r="G15" s="8">
        <v>336002</v>
      </c>
      <c r="H15" s="9" t="str">
        <f>IF(G15&lt;=0,"",VLOOKUP(G15,[13]COG!A:H,2,0))</f>
        <v>Servicio de Impresión y Elaboración de Material Informativo</v>
      </c>
      <c r="I15" s="10">
        <f>Tabla118[[#This Row],[PRESUPUESTO ANUAL AUTORIZADO ]]/4</f>
        <v>301000</v>
      </c>
      <c r="J15" s="10">
        <f>Tabla118[[#This Row],[PRESUPUESTO ANUAL AUTORIZADO ]]/4</f>
        <v>301000</v>
      </c>
      <c r="K15" s="10">
        <f>Tabla118[[#This Row],[PRESUPUESTO ANUAL AUTORIZADO ]]/4</f>
        <v>301000</v>
      </c>
      <c r="L15" s="10">
        <f>Tabla118[[#This Row],[PRESUPUESTO ANUAL AUTORIZADO ]]/4</f>
        <v>301000</v>
      </c>
      <c r="M15" s="41">
        <v>1204000</v>
      </c>
      <c r="N15" s="12" t="s">
        <v>20</v>
      </c>
      <c r="O15" s="42">
        <v>45778</v>
      </c>
      <c r="P15" s="86" t="s">
        <v>287</v>
      </c>
    </row>
    <row r="16" spans="1:16" s="71" customFormat="1" ht="37.5" customHeight="1" x14ac:dyDescent="0.2">
      <c r="A16" s="3">
        <v>1420</v>
      </c>
      <c r="B16" s="4" t="s">
        <v>284</v>
      </c>
      <c r="C16" s="5">
        <v>530</v>
      </c>
      <c r="D16" s="6" t="str">
        <f>IF(C16&lt;=0,"",VLOOKUP(C16,[13]FF!A:D,2,0))</f>
        <v>PARTICIPACIONES Ramo 28</v>
      </c>
      <c r="E16" s="5" t="s">
        <v>285</v>
      </c>
      <c r="F16" s="7" t="s">
        <v>22</v>
      </c>
      <c r="G16" s="8">
        <v>358001</v>
      </c>
      <c r="H16" s="9" t="str">
        <f>IF(G16&lt;=0,"",VLOOKUP(G16,[13]COG!A:H,2,0))</f>
        <v>Servicios de higiene y limpieza</v>
      </c>
      <c r="I16" s="10">
        <f>+Tabla118[[#This Row],[PRESUPUESTO ANUAL AUTORIZADO ]]/4</f>
        <v>665584.25</v>
      </c>
      <c r="J16" s="10">
        <f>+Tabla118[[#This Row],[PRESUPUESTO ANUAL AUTORIZADO ]]/4</f>
        <v>665584.25</v>
      </c>
      <c r="K16" s="10">
        <f>+Tabla118[[#This Row],[PRESUPUESTO ANUAL AUTORIZADO ]]/4</f>
        <v>665584.25</v>
      </c>
      <c r="L16" s="10">
        <f>+Tabla118[[#This Row],[PRESUPUESTO ANUAL AUTORIZADO ]]/4</f>
        <v>665584.25</v>
      </c>
      <c r="M16" s="41">
        <v>2662337</v>
      </c>
      <c r="N16" s="12" t="s">
        <v>17</v>
      </c>
      <c r="O16" s="42">
        <v>45658</v>
      </c>
      <c r="P16" s="86" t="s">
        <v>291</v>
      </c>
    </row>
    <row r="17" spans="1:16" ht="37.5" customHeight="1" thickBot="1" x14ac:dyDescent="0.25">
      <c r="A17" s="97"/>
      <c r="B17" s="98"/>
      <c r="C17" s="99"/>
      <c r="D17" s="100"/>
      <c r="E17" s="99"/>
      <c r="F17" s="99"/>
      <c r="G17" s="101"/>
      <c r="H17" s="102" t="s">
        <v>32</v>
      </c>
      <c r="I17" s="103"/>
      <c r="J17" s="103"/>
      <c r="K17" s="104"/>
      <c r="L17" s="103"/>
      <c r="M17" s="105">
        <f>SUBTOTAL(109,Tabla118[[PRESUPUESTO ANUAL AUTORIZADO ]])</f>
        <v>115503874.28</v>
      </c>
      <c r="N17" s="103"/>
      <c r="O17" s="103"/>
      <c r="P17" s="101"/>
    </row>
    <row r="18" spans="1:16" ht="37.5" customHeight="1" thickTop="1" x14ac:dyDescent="0.2"/>
    <row r="19" spans="1:16" customFormat="1" ht="37.5" customHeight="1" x14ac:dyDescent="0.25"/>
    <row r="20" spans="1:16" customFormat="1" ht="37.5" customHeight="1" x14ac:dyDescent="0.25"/>
    <row r="21" spans="1:16" customFormat="1" ht="37.5" customHeight="1" x14ac:dyDescent="0.25"/>
    <row r="22" spans="1:16" ht="37.5" customHeight="1" x14ac:dyDescent="0.2">
      <c r="M22" s="48"/>
    </row>
    <row r="24" spans="1:16" ht="37.5" customHeight="1" x14ac:dyDescent="0.2">
      <c r="M24" s="48"/>
    </row>
  </sheetData>
  <protectedRanges>
    <protectedRange algorithmName="SHA-512" hashValue="CVDb5J/0TlFD03lqit9XaA7LbCMGvWLCsduA3v8dImZEGhWfzgZ6Dg6bkjbAbJm1bYAcMLcpovU/dJmuMze5jw==" saltValue="QZ4X9aU2cO4/tAPW6011Dw==" spinCount="100000" sqref="N5:P17" name="EDITABLE 4"/>
    <protectedRange algorithmName="SHA-512" hashValue="ytsoXFfC1+WmXVaa1/e6XfcZ7vPjNmSnuZe33NqN4NcqbRxNJdzSGuklMRpskJNPYNNz1yZQe585JE4aSLisOg==" saltValue="/jSLFmNX0mB2vn2qhSJbtw==" spinCount="100000" sqref="I5:L17" name="EDITABLE 3"/>
    <protectedRange algorithmName="SHA-512" hashValue="pJNw8ysPJcfMEDlzTgza0siiHuU4FkUpIzbuTX325DFaYD5nL5ng0z0JoIGpE+CYch2hq/LccMqSM51MpHojPQ==" saltValue="xv9nj4u85CXs/Kmy5tmlKw==" spinCount="100000" sqref="E5:G17" name="EDITABLE 2"/>
    <protectedRange algorithmName="SHA-512" hashValue="Lst7hsT/mUUQvFsOUalIdMZhSjExDj/C7u4r1gIjHREwBj16N7lqODQ0CY6n+RXalo774Zm4aYZKVBS0n4XIeg==" saltValue="KfnRR/cqfK967zBK52Zr6A==" spinCount="100000" sqref="A5:C17" name="EDITABLE 1"/>
  </protectedRanges>
  <mergeCells count="3">
    <mergeCell ref="A1:P1"/>
    <mergeCell ref="A2:P2"/>
    <mergeCell ref="A3:P3"/>
  </mergeCells>
  <dataValidations count="2">
    <dataValidation type="list" allowBlank="1" showInputMessage="1" showErrorMessage="1" sqref="G5:G16" xr:uid="{2A6E1E88-5CA5-4B4B-87BE-B3FCBC368B3A}">
      <formula1>INDIRECT(F5)</formula1>
    </dataValidation>
    <dataValidation type="list" allowBlank="1" showInputMessage="1" showErrorMessage="1" sqref="F5:F16" xr:uid="{33639C79-E0C0-4EEE-8760-CA9766405AF0}">
      <formula1>CAPITULOS</formula1>
    </dataValidation>
  </dataValidations>
  <pageMargins left="0.23622047244094491" right="0.23622047244094491" top="0.74803149606299213" bottom="0.74803149606299213" header="0.31496062992125984" footer="0.31496062992125984"/>
  <pageSetup paperSize="5" scale="66" fitToHeight="0" orientation="landscape" r:id="rId1"/>
  <drawing r:id="rId2"/>
  <tableParts count="1">
    <tablePart r:id="rId3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B5C1CE-B76C-45A2-8C45-0A7C88BED75B}">
  <sheetPr>
    <tabColor rgb="FF00B050"/>
    <pageSetUpPr fitToPage="1"/>
  </sheetPr>
  <dimension ref="A1:P133"/>
  <sheetViews>
    <sheetView zoomScaleNormal="100" workbookViewId="0">
      <pane xSplit="8" ySplit="4" topLeftCell="I122" activePane="bottomRight" state="frozen"/>
      <selection activeCell="L24" sqref="L24"/>
      <selection pane="topRight" activeCell="L24" sqref="L24"/>
      <selection pane="bottomLeft" activeCell="L24" sqref="L24"/>
      <selection pane="bottomRight" activeCell="L24" sqref="L24"/>
    </sheetView>
  </sheetViews>
  <sheetFormatPr baseColWidth="10" defaultColWidth="11.42578125" defaultRowHeight="37.5" customHeight="1" x14ac:dyDescent="0.2"/>
  <cols>
    <col min="1" max="1" width="10.28515625" style="1" customWidth="1"/>
    <col min="2" max="2" width="17.5703125" style="1" customWidth="1"/>
    <col min="3" max="3" width="18.140625" style="1" customWidth="1"/>
    <col min="4" max="4" width="17.42578125" style="1" customWidth="1"/>
    <col min="5" max="5" width="19.42578125" style="1" customWidth="1"/>
    <col min="6" max="6" width="11.140625" style="1" customWidth="1"/>
    <col min="7" max="7" width="13" style="1" customWidth="1"/>
    <col min="8" max="8" width="32.140625" style="1" customWidth="1"/>
    <col min="9" max="9" width="23.140625" style="1" bestFit="1" customWidth="1"/>
    <col min="10" max="10" width="17.5703125" style="1" bestFit="1" customWidth="1"/>
    <col min="11" max="11" width="18.140625" style="1" bestFit="1" customWidth="1"/>
    <col min="12" max="12" width="18.28515625" style="1" bestFit="1" customWidth="1"/>
    <col min="13" max="13" width="19" style="1" customWidth="1"/>
    <col min="14" max="14" width="21.7109375" style="1" customWidth="1"/>
    <col min="15" max="15" width="23.5703125" style="1" customWidth="1"/>
    <col min="16" max="16" width="24.42578125" style="1" bestFit="1" customWidth="1"/>
    <col min="17" max="16384" width="11.42578125" style="1"/>
  </cols>
  <sheetData>
    <row r="1" spans="1:16" ht="22.5" customHeight="1" x14ac:dyDescent="0.2">
      <c r="A1" s="115" t="s">
        <v>24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</row>
    <row r="2" spans="1:16" ht="18.75" customHeight="1" x14ac:dyDescent="0.2">
      <c r="A2" s="116" t="s">
        <v>293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</row>
    <row r="3" spans="1:16" ht="32.25" customHeight="1" x14ac:dyDescent="0.2">
      <c r="A3" s="117" t="s">
        <v>25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</row>
    <row r="4" spans="1:16" s="2" customFormat="1" ht="48" customHeight="1" x14ac:dyDescent="0.2">
      <c r="A4" s="72" t="s">
        <v>0</v>
      </c>
      <c r="B4" s="72" t="s">
        <v>1</v>
      </c>
      <c r="C4" s="72" t="s">
        <v>2</v>
      </c>
      <c r="D4" s="72" t="s">
        <v>3</v>
      </c>
      <c r="E4" s="72" t="s">
        <v>4</v>
      </c>
      <c r="F4" s="72" t="s">
        <v>5</v>
      </c>
      <c r="G4" s="72" t="s">
        <v>6</v>
      </c>
      <c r="H4" s="72" t="s">
        <v>7</v>
      </c>
      <c r="I4" s="72" t="s">
        <v>26</v>
      </c>
      <c r="J4" s="72" t="s">
        <v>8</v>
      </c>
      <c r="K4" s="72" t="s">
        <v>9</v>
      </c>
      <c r="L4" s="72" t="s">
        <v>10</v>
      </c>
      <c r="M4" s="72" t="s">
        <v>27</v>
      </c>
      <c r="N4" s="72" t="s">
        <v>11</v>
      </c>
      <c r="O4" s="72" t="s">
        <v>12</v>
      </c>
      <c r="P4" s="72" t="s">
        <v>13</v>
      </c>
    </row>
    <row r="5" spans="1:16" ht="37.5" customHeight="1" x14ac:dyDescent="0.2">
      <c r="A5" s="3">
        <v>1701</v>
      </c>
      <c r="B5" s="4" t="s">
        <v>294</v>
      </c>
      <c r="C5" s="5">
        <v>530</v>
      </c>
      <c r="D5" s="6" t="str">
        <f>IF(C5&lt;=0,"",VLOOKUP(C5,[14]FF!A:D,2,0))</f>
        <v>PARTICIPACIONES Ramo 28</v>
      </c>
      <c r="E5" s="5" t="s">
        <v>295</v>
      </c>
      <c r="F5" s="7" t="s">
        <v>15</v>
      </c>
      <c r="G5" s="8">
        <v>211001</v>
      </c>
      <c r="H5" s="9" t="s">
        <v>16</v>
      </c>
      <c r="I5" s="10">
        <v>18836</v>
      </c>
      <c r="J5" s="10">
        <v>18501</v>
      </c>
      <c r="K5" s="10">
        <v>18501</v>
      </c>
      <c r="L5" s="10">
        <v>18497</v>
      </c>
      <c r="M5" s="41">
        <f>SUM(Tabla119[[#This Row],[TRIMESTRE  I]:[TRIMESTRE IV]])</f>
        <v>74335</v>
      </c>
      <c r="N5" s="12" t="s">
        <v>17</v>
      </c>
      <c r="O5" s="42">
        <v>45322</v>
      </c>
      <c r="P5" s="86" t="s">
        <v>296</v>
      </c>
    </row>
    <row r="6" spans="1:16" ht="37.5" customHeight="1" x14ac:dyDescent="0.2">
      <c r="A6" s="3">
        <v>1701</v>
      </c>
      <c r="B6" s="4" t="s">
        <v>294</v>
      </c>
      <c r="C6" s="5">
        <v>530</v>
      </c>
      <c r="D6" s="6" t="str">
        <f>IF(C6&lt;=0,"",VLOOKUP(C6,[14]FF!A:D,2,0))</f>
        <v>PARTICIPACIONES Ramo 28</v>
      </c>
      <c r="E6" s="5" t="s">
        <v>295</v>
      </c>
      <c r="F6" s="7" t="s">
        <v>15</v>
      </c>
      <c r="G6" s="8">
        <v>212001</v>
      </c>
      <c r="H6" s="9" t="s">
        <v>50</v>
      </c>
      <c r="I6" s="10">
        <v>22373</v>
      </c>
      <c r="J6" s="10">
        <v>29577</v>
      </c>
      <c r="K6" s="10">
        <v>29796</v>
      </c>
      <c r="L6" s="10">
        <v>28236</v>
      </c>
      <c r="M6" s="41">
        <f>SUM(Tabla119[[#This Row],[TRIMESTRE  I]:[TRIMESTRE IV]])</f>
        <v>109982</v>
      </c>
      <c r="N6" s="12" t="s">
        <v>19</v>
      </c>
      <c r="O6" s="42">
        <v>45322</v>
      </c>
      <c r="P6" s="86" t="s">
        <v>297</v>
      </c>
    </row>
    <row r="7" spans="1:16" ht="37.5" customHeight="1" x14ac:dyDescent="0.2">
      <c r="A7" s="3">
        <v>1701</v>
      </c>
      <c r="B7" s="4" t="s">
        <v>294</v>
      </c>
      <c r="C7" s="5">
        <v>530</v>
      </c>
      <c r="D7" s="6" t="str">
        <f>IF(C7&lt;=0,"",VLOOKUP(C7,[14]FF!A:D,2,0))</f>
        <v>PARTICIPACIONES Ramo 28</v>
      </c>
      <c r="E7" s="5" t="s">
        <v>295</v>
      </c>
      <c r="F7" s="7" t="s">
        <v>15</v>
      </c>
      <c r="G7" s="8">
        <v>216001</v>
      </c>
      <c r="H7" s="9" t="s">
        <v>18</v>
      </c>
      <c r="I7" s="10">
        <v>19814</v>
      </c>
      <c r="J7" s="10">
        <v>16296</v>
      </c>
      <c r="K7" s="10">
        <v>16296</v>
      </c>
      <c r="L7" s="10">
        <v>18313</v>
      </c>
      <c r="M7" s="41">
        <f>SUM(Tabla119[[#This Row],[TRIMESTRE  I]:[TRIMESTRE IV]])</f>
        <v>70719</v>
      </c>
      <c r="N7" s="12" t="s">
        <v>17</v>
      </c>
      <c r="O7" s="42">
        <v>45322</v>
      </c>
      <c r="P7" s="86" t="s">
        <v>296</v>
      </c>
    </row>
    <row r="8" spans="1:16" ht="37.5" customHeight="1" x14ac:dyDescent="0.2">
      <c r="A8" s="3">
        <v>1701</v>
      </c>
      <c r="B8" s="4" t="s">
        <v>294</v>
      </c>
      <c r="C8" s="5">
        <v>530</v>
      </c>
      <c r="D8" s="6" t="str">
        <f>IF(C8&lt;=0,"",VLOOKUP(C8,[14]FF!A:D,2,0))</f>
        <v>PARTICIPACIONES Ramo 28</v>
      </c>
      <c r="E8" s="5" t="s">
        <v>295</v>
      </c>
      <c r="F8" s="7" t="s">
        <v>15</v>
      </c>
      <c r="G8" s="8">
        <v>261001</v>
      </c>
      <c r="H8" s="9" t="s">
        <v>46</v>
      </c>
      <c r="I8" s="10">
        <v>54000</v>
      </c>
      <c r="J8" s="10">
        <v>56500</v>
      </c>
      <c r="K8" s="10">
        <v>58500</v>
      </c>
      <c r="L8" s="10">
        <v>58500</v>
      </c>
      <c r="M8" s="41">
        <f>SUM(Tabla119[[#This Row],[TRIMESTRE  I]:[TRIMESTRE IV]])</f>
        <v>227500</v>
      </c>
      <c r="N8" s="12" t="s">
        <v>17</v>
      </c>
      <c r="O8" s="42">
        <v>45322</v>
      </c>
      <c r="P8" s="86" t="s">
        <v>296</v>
      </c>
    </row>
    <row r="9" spans="1:16" ht="37.5" customHeight="1" x14ac:dyDescent="0.2">
      <c r="A9" s="3">
        <v>1701</v>
      </c>
      <c r="B9" s="4" t="s">
        <v>294</v>
      </c>
      <c r="C9" s="5">
        <v>530</v>
      </c>
      <c r="D9" s="6" t="str">
        <f>IF(C9&lt;=0,"",VLOOKUP(C9,[14]FF!A:D,2,0))</f>
        <v>PARTICIPACIONES Ramo 28</v>
      </c>
      <c r="E9" s="5" t="s">
        <v>295</v>
      </c>
      <c r="F9" s="7" t="s">
        <v>15</v>
      </c>
      <c r="G9" s="8">
        <v>261002</v>
      </c>
      <c r="H9" s="9" t="s">
        <v>111</v>
      </c>
      <c r="I9" s="10">
        <v>3825</v>
      </c>
      <c r="J9" s="10">
        <v>3516</v>
      </c>
      <c r="K9" s="10">
        <v>0</v>
      </c>
      <c r="L9" s="10">
        <v>1323</v>
      </c>
      <c r="M9" s="41">
        <f>SUM(Tabla119[[#This Row],[TRIMESTRE  I]:[TRIMESTRE IV]])</f>
        <v>8664</v>
      </c>
      <c r="N9" s="12" t="s">
        <v>19</v>
      </c>
      <c r="O9" s="42">
        <v>45322</v>
      </c>
      <c r="P9" s="86" t="s">
        <v>297</v>
      </c>
    </row>
    <row r="10" spans="1:16" ht="37.5" customHeight="1" x14ac:dyDescent="0.2">
      <c r="A10" s="3">
        <v>1701</v>
      </c>
      <c r="B10" s="4" t="s">
        <v>294</v>
      </c>
      <c r="C10" s="5">
        <v>530</v>
      </c>
      <c r="D10" s="6" t="str">
        <f>IF(C10&lt;=0,"",VLOOKUP(C10,[14]FF!A:D,2,0))</f>
        <v>PARTICIPACIONES Ramo 28</v>
      </c>
      <c r="E10" s="5" t="s">
        <v>295</v>
      </c>
      <c r="F10" s="7" t="s">
        <v>15</v>
      </c>
      <c r="G10" s="8">
        <v>296001</v>
      </c>
      <c r="H10" s="9" t="s">
        <v>51</v>
      </c>
      <c r="I10" s="10">
        <v>14718</v>
      </c>
      <c r="J10" s="10">
        <v>12657</v>
      </c>
      <c r="K10" s="10">
        <v>14184</v>
      </c>
      <c r="L10" s="10">
        <v>13372</v>
      </c>
      <c r="M10" s="41">
        <f>SUM(Tabla119[[#This Row],[TRIMESTRE  I]:[TRIMESTRE IV]])</f>
        <v>54931</v>
      </c>
      <c r="N10" s="12" t="s">
        <v>19</v>
      </c>
      <c r="O10" s="42">
        <v>45322</v>
      </c>
      <c r="P10" s="86" t="s">
        <v>297</v>
      </c>
    </row>
    <row r="11" spans="1:16" ht="37.5" customHeight="1" x14ac:dyDescent="0.2">
      <c r="A11" s="3">
        <v>1701</v>
      </c>
      <c r="B11" s="4" t="s">
        <v>294</v>
      </c>
      <c r="C11" s="5">
        <v>530</v>
      </c>
      <c r="D11" s="6" t="str">
        <f>IF(C11&lt;=0,"",VLOOKUP(C11,[14]FF!A:D,2,0))</f>
        <v>PARTICIPACIONES Ramo 28</v>
      </c>
      <c r="E11" s="5" t="s">
        <v>295</v>
      </c>
      <c r="F11" s="7" t="s">
        <v>22</v>
      </c>
      <c r="G11" s="8">
        <v>311001</v>
      </c>
      <c r="H11" s="9" t="s">
        <v>52</v>
      </c>
      <c r="I11" s="10">
        <v>46946</v>
      </c>
      <c r="J11" s="10">
        <v>98032</v>
      </c>
      <c r="K11" s="10">
        <v>88690</v>
      </c>
      <c r="L11" s="10">
        <v>84239</v>
      </c>
      <c r="M11" s="41">
        <f>SUM(Tabla119[[#This Row],[TRIMESTRE  I]:[TRIMESTRE IV]])</f>
        <v>317907</v>
      </c>
      <c r="N11" s="12" t="s">
        <v>17</v>
      </c>
      <c r="O11" s="42">
        <v>45322</v>
      </c>
      <c r="P11" s="86" t="s">
        <v>296</v>
      </c>
    </row>
    <row r="12" spans="1:16" ht="37.5" customHeight="1" x14ac:dyDescent="0.2">
      <c r="A12" s="3">
        <v>1701</v>
      </c>
      <c r="B12" s="4" t="s">
        <v>294</v>
      </c>
      <c r="C12" s="5">
        <v>530</v>
      </c>
      <c r="D12" s="6" t="str">
        <f>IF(C12&lt;=0,"",VLOOKUP(C12,[14]FF!A:D,2,0))</f>
        <v>PARTICIPACIONES Ramo 28</v>
      </c>
      <c r="E12" s="5" t="s">
        <v>295</v>
      </c>
      <c r="F12" s="7" t="s">
        <v>22</v>
      </c>
      <c r="G12" s="8">
        <v>313001</v>
      </c>
      <c r="H12" s="9" t="s">
        <v>53</v>
      </c>
      <c r="I12" s="10">
        <v>12780</v>
      </c>
      <c r="J12" s="10">
        <v>12780</v>
      </c>
      <c r="K12" s="10">
        <v>12780</v>
      </c>
      <c r="L12" s="10">
        <v>12780</v>
      </c>
      <c r="M12" s="41">
        <f>SUM(Tabla119[[#This Row],[TRIMESTRE  I]:[TRIMESTRE IV]])</f>
        <v>51120</v>
      </c>
      <c r="N12" s="12" t="s">
        <v>17</v>
      </c>
      <c r="O12" s="42">
        <v>45322</v>
      </c>
      <c r="P12" s="86" t="s">
        <v>296</v>
      </c>
    </row>
    <row r="13" spans="1:16" ht="37.5" customHeight="1" x14ac:dyDescent="0.2">
      <c r="A13" s="3">
        <v>1701</v>
      </c>
      <c r="B13" s="4" t="s">
        <v>294</v>
      </c>
      <c r="C13" s="5">
        <v>530</v>
      </c>
      <c r="D13" s="6" t="str">
        <f>IF(C13&lt;=0,"",VLOOKUP(C13,[14]FF!A:D,2,0))</f>
        <v>PARTICIPACIONES Ramo 28</v>
      </c>
      <c r="E13" s="5" t="s">
        <v>295</v>
      </c>
      <c r="F13" s="7" t="s">
        <v>22</v>
      </c>
      <c r="G13" s="8">
        <v>314001</v>
      </c>
      <c r="H13" s="9" t="s">
        <v>54</v>
      </c>
      <c r="I13" s="10">
        <v>92004</v>
      </c>
      <c r="J13" s="10">
        <v>121621</v>
      </c>
      <c r="K13" s="10">
        <v>127573</v>
      </c>
      <c r="L13" s="10">
        <v>75698</v>
      </c>
      <c r="M13" s="41">
        <f>SUM(Tabla119[[#This Row],[TRIMESTRE  I]:[TRIMESTRE IV]])</f>
        <v>416896</v>
      </c>
      <c r="N13" s="12" t="s">
        <v>17</v>
      </c>
      <c r="O13" s="42">
        <v>45322</v>
      </c>
      <c r="P13" s="86" t="s">
        <v>296</v>
      </c>
    </row>
    <row r="14" spans="1:16" ht="37.5" customHeight="1" x14ac:dyDescent="0.2">
      <c r="A14" s="3">
        <v>1701</v>
      </c>
      <c r="B14" s="4" t="s">
        <v>294</v>
      </c>
      <c r="C14" s="5">
        <v>530</v>
      </c>
      <c r="D14" s="6" t="str">
        <f>IF(C14&lt;=0,"",VLOOKUP(C14,[14]FF!A:D,2,0))</f>
        <v>PARTICIPACIONES Ramo 28</v>
      </c>
      <c r="E14" s="5" t="s">
        <v>295</v>
      </c>
      <c r="F14" s="7" t="s">
        <v>22</v>
      </c>
      <c r="G14" s="8">
        <v>322001</v>
      </c>
      <c r="H14" s="9" t="s">
        <v>23</v>
      </c>
      <c r="I14" s="10">
        <v>374262</v>
      </c>
      <c r="J14" s="10">
        <v>374262</v>
      </c>
      <c r="K14" s="10">
        <v>374262</v>
      </c>
      <c r="L14" s="10">
        <v>374262</v>
      </c>
      <c r="M14" s="41">
        <f>SUM(Tabla119[[#This Row],[TRIMESTRE  I]:[TRIMESTRE IV]])</f>
        <v>1497048</v>
      </c>
      <c r="N14" s="12" t="s">
        <v>19</v>
      </c>
      <c r="O14" s="42">
        <v>45322</v>
      </c>
      <c r="P14" s="86" t="s">
        <v>297</v>
      </c>
    </row>
    <row r="15" spans="1:16" ht="37.5" customHeight="1" x14ac:dyDescent="0.2">
      <c r="A15" s="3">
        <v>1701</v>
      </c>
      <c r="B15" s="4" t="s">
        <v>294</v>
      </c>
      <c r="C15" s="5">
        <v>530</v>
      </c>
      <c r="D15" s="6" t="str">
        <f>IF(C15&lt;=0,"",VLOOKUP(C15,[14]FF!A:D,2,0))</f>
        <v>PARTICIPACIONES Ramo 28</v>
      </c>
      <c r="E15" s="5" t="s">
        <v>295</v>
      </c>
      <c r="F15" s="7" t="s">
        <v>22</v>
      </c>
      <c r="G15" s="8">
        <v>323001</v>
      </c>
      <c r="H15" s="9" t="s">
        <v>374</v>
      </c>
      <c r="I15" s="10">
        <v>14616</v>
      </c>
      <c r="J15" s="10">
        <v>14616</v>
      </c>
      <c r="K15" s="10">
        <v>14616</v>
      </c>
      <c r="L15" s="10">
        <v>14616</v>
      </c>
      <c r="M15" s="41">
        <f>SUM(Tabla119[[#This Row],[TRIMESTRE  I]:[TRIMESTRE IV]])</f>
        <v>58464</v>
      </c>
      <c r="N15" s="12" t="s">
        <v>30</v>
      </c>
      <c r="O15" s="42">
        <v>45322</v>
      </c>
      <c r="P15" s="86" t="s">
        <v>297</v>
      </c>
    </row>
    <row r="16" spans="1:16" ht="37.5" customHeight="1" x14ac:dyDescent="0.2">
      <c r="A16" s="3">
        <v>1701</v>
      </c>
      <c r="B16" s="4" t="s">
        <v>294</v>
      </c>
      <c r="C16" s="5">
        <v>530</v>
      </c>
      <c r="D16" s="6" t="str">
        <f>IF(C16&lt;=0,"",VLOOKUP(C16,[14]FF!A:D,2,0))</f>
        <v>PARTICIPACIONES Ramo 28</v>
      </c>
      <c r="E16" s="5" t="s">
        <v>295</v>
      </c>
      <c r="F16" s="7" t="s">
        <v>22</v>
      </c>
      <c r="G16" s="8">
        <v>351001</v>
      </c>
      <c r="H16" s="9" t="s">
        <v>153</v>
      </c>
      <c r="I16" s="10">
        <v>20597</v>
      </c>
      <c r="J16" s="10">
        <v>64000</v>
      </c>
      <c r="K16" s="10">
        <v>69000</v>
      </c>
      <c r="L16" s="10">
        <v>55000</v>
      </c>
      <c r="M16" s="41">
        <f>SUM(Tabla119[[#This Row],[TRIMESTRE  I]:[TRIMESTRE IV]])</f>
        <v>208597</v>
      </c>
      <c r="N16" s="12" t="s">
        <v>19</v>
      </c>
      <c r="O16" s="42">
        <v>45322</v>
      </c>
      <c r="P16" s="86" t="s">
        <v>297</v>
      </c>
    </row>
    <row r="17" spans="1:16" ht="37.5" customHeight="1" x14ac:dyDescent="0.2">
      <c r="A17" s="3">
        <v>1701</v>
      </c>
      <c r="B17" s="4" t="s">
        <v>294</v>
      </c>
      <c r="C17" s="5">
        <v>530</v>
      </c>
      <c r="D17" s="6" t="str">
        <f>IF(C17&lt;=0,"",VLOOKUP(C17,[14]FF!A:D,2,0))</f>
        <v>PARTICIPACIONES Ramo 28</v>
      </c>
      <c r="E17" s="5" t="s">
        <v>295</v>
      </c>
      <c r="F17" s="7" t="s">
        <v>22</v>
      </c>
      <c r="G17" s="8">
        <v>355001</v>
      </c>
      <c r="H17" s="9" t="s">
        <v>56</v>
      </c>
      <c r="I17" s="10">
        <v>18000</v>
      </c>
      <c r="J17" s="10">
        <v>19000</v>
      </c>
      <c r="K17" s="10">
        <v>23033</v>
      </c>
      <c r="L17" s="10">
        <v>20000</v>
      </c>
      <c r="M17" s="41">
        <f>SUM(Tabla119[[#This Row],[TRIMESTRE  I]:[TRIMESTRE IV]])</f>
        <v>80033</v>
      </c>
      <c r="N17" s="12" t="s">
        <v>19</v>
      </c>
      <c r="O17" s="42">
        <v>45322</v>
      </c>
      <c r="P17" s="86" t="s">
        <v>297</v>
      </c>
    </row>
    <row r="18" spans="1:16" ht="37.5" customHeight="1" x14ac:dyDescent="0.2">
      <c r="A18" s="3">
        <v>1701</v>
      </c>
      <c r="B18" s="4" t="s">
        <v>294</v>
      </c>
      <c r="C18" s="5">
        <v>530</v>
      </c>
      <c r="D18" s="6" t="str">
        <f>IF(C18&lt;=0,"",VLOOKUP(C18,[14]FF!A:D,2,0))</f>
        <v>PARTICIPACIONES Ramo 28</v>
      </c>
      <c r="E18" s="5" t="s">
        <v>295</v>
      </c>
      <c r="F18" s="7" t="s">
        <v>22</v>
      </c>
      <c r="G18" s="8">
        <v>371001</v>
      </c>
      <c r="H18" s="9" t="s">
        <v>31</v>
      </c>
      <c r="I18" s="10">
        <v>14110</v>
      </c>
      <c r="J18" s="10">
        <v>0</v>
      </c>
      <c r="K18" s="10">
        <v>0</v>
      </c>
      <c r="L18" s="10">
        <v>8965</v>
      </c>
      <c r="M18" s="41">
        <f>SUM(Tabla119[[#This Row],[TRIMESTRE  I]:[TRIMESTRE IV]])</f>
        <v>23075</v>
      </c>
      <c r="N18" s="12" t="s">
        <v>17</v>
      </c>
      <c r="O18" s="42">
        <v>45322</v>
      </c>
      <c r="P18" s="86" t="s">
        <v>298</v>
      </c>
    </row>
    <row r="19" spans="1:16" ht="37.5" customHeight="1" x14ac:dyDescent="0.2">
      <c r="A19" s="3">
        <v>1701</v>
      </c>
      <c r="B19" s="4" t="s">
        <v>294</v>
      </c>
      <c r="C19" s="5">
        <v>530</v>
      </c>
      <c r="D19" s="6" t="str">
        <f>IF(C19&lt;=0,"",VLOOKUP(C19,[14]FF!A:D,2,0))</f>
        <v>PARTICIPACIONES Ramo 28</v>
      </c>
      <c r="E19" s="5" t="s">
        <v>295</v>
      </c>
      <c r="F19" s="7" t="s">
        <v>22</v>
      </c>
      <c r="G19" s="8">
        <v>375001</v>
      </c>
      <c r="H19" s="9" t="s">
        <v>48</v>
      </c>
      <c r="I19" s="10">
        <v>60175</v>
      </c>
      <c r="J19" s="10">
        <v>31001</v>
      </c>
      <c r="K19" s="10">
        <v>29841</v>
      </c>
      <c r="L19" s="10">
        <v>33765</v>
      </c>
      <c r="M19" s="41">
        <f>SUM(Tabla119[[#This Row],[TRIMESTRE  I]:[TRIMESTRE IV]])</f>
        <v>154782</v>
      </c>
      <c r="N19" s="12" t="s">
        <v>19</v>
      </c>
      <c r="O19" s="42">
        <v>45322</v>
      </c>
      <c r="P19" s="86" t="s">
        <v>297</v>
      </c>
    </row>
    <row r="20" spans="1:16" ht="37.5" customHeight="1" x14ac:dyDescent="0.2">
      <c r="A20" s="3">
        <v>1701</v>
      </c>
      <c r="B20" s="4" t="s">
        <v>294</v>
      </c>
      <c r="C20" s="5">
        <v>530</v>
      </c>
      <c r="D20" s="6" t="str">
        <f>IF(C20&lt;=0,"",VLOOKUP(C20,[14]FF!A:D,2,0))</f>
        <v>PARTICIPACIONES Ramo 28</v>
      </c>
      <c r="E20" s="5" t="s">
        <v>295</v>
      </c>
      <c r="F20" s="7" t="s">
        <v>22</v>
      </c>
      <c r="G20" s="8">
        <v>382002</v>
      </c>
      <c r="H20" s="9" t="s">
        <v>57</v>
      </c>
      <c r="I20" s="10">
        <v>170000</v>
      </c>
      <c r="J20" s="10">
        <v>60000</v>
      </c>
      <c r="K20" s="10">
        <v>60000</v>
      </c>
      <c r="L20" s="10">
        <v>60000</v>
      </c>
      <c r="M20" s="41">
        <f>SUM(Tabla119[[#This Row],[TRIMESTRE  I]:[TRIMESTRE IV]])</f>
        <v>350000</v>
      </c>
      <c r="N20" s="12" t="s">
        <v>19</v>
      </c>
      <c r="O20" s="42">
        <v>45322</v>
      </c>
      <c r="P20" s="86" t="s">
        <v>297</v>
      </c>
    </row>
    <row r="21" spans="1:16" ht="37.5" customHeight="1" x14ac:dyDescent="0.2">
      <c r="A21" s="3">
        <v>1701</v>
      </c>
      <c r="B21" s="4" t="s">
        <v>294</v>
      </c>
      <c r="C21" s="5">
        <v>530</v>
      </c>
      <c r="D21" s="6" t="str">
        <f>IF(C21&lt;=0,"",VLOOKUP(C21,[14]FF!A:D,2,0))</f>
        <v>PARTICIPACIONES Ramo 28</v>
      </c>
      <c r="E21" s="5" t="s">
        <v>299</v>
      </c>
      <c r="F21" s="7" t="s">
        <v>15</v>
      </c>
      <c r="G21" s="8">
        <v>211001</v>
      </c>
      <c r="H21" s="9" t="s">
        <v>16</v>
      </c>
      <c r="I21" s="10">
        <v>3700</v>
      </c>
      <c r="J21" s="10">
        <v>3060</v>
      </c>
      <c r="K21" s="10">
        <v>3060</v>
      </c>
      <c r="L21" s="10">
        <v>3400</v>
      </c>
      <c r="M21" s="41">
        <f>SUM(Tabla119[[#This Row],[TRIMESTRE  I]:[TRIMESTRE IV]])</f>
        <v>13220</v>
      </c>
      <c r="N21" s="12" t="s">
        <v>17</v>
      </c>
      <c r="O21" s="42">
        <v>45322</v>
      </c>
      <c r="P21" s="86" t="s">
        <v>296</v>
      </c>
    </row>
    <row r="22" spans="1:16" ht="37.5" customHeight="1" x14ac:dyDescent="0.2">
      <c r="A22" s="3">
        <v>1701</v>
      </c>
      <c r="B22" s="4" t="s">
        <v>294</v>
      </c>
      <c r="C22" s="5">
        <v>530</v>
      </c>
      <c r="D22" s="6" t="str">
        <f>IF(C22&lt;=0,"",VLOOKUP(C22,[14]FF!A:D,2,0))</f>
        <v>PARTICIPACIONES Ramo 28</v>
      </c>
      <c r="E22" s="5" t="s">
        <v>299</v>
      </c>
      <c r="F22" s="7" t="s">
        <v>15</v>
      </c>
      <c r="G22" s="8">
        <v>212001</v>
      </c>
      <c r="H22" s="9" t="s">
        <v>50</v>
      </c>
      <c r="I22" s="10">
        <v>4250</v>
      </c>
      <c r="J22" s="10">
        <v>4020</v>
      </c>
      <c r="K22" s="10">
        <v>4020</v>
      </c>
      <c r="L22" s="10">
        <v>4020</v>
      </c>
      <c r="M22" s="41">
        <f>SUM(Tabla119[[#This Row],[TRIMESTRE  I]:[TRIMESTRE IV]])</f>
        <v>16310</v>
      </c>
      <c r="N22" s="12" t="s">
        <v>19</v>
      </c>
      <c r="O22" s="42">
        <v>45322</v>
      </c>
      <c r="P22" s="86" t="s">
        <v>297</v>
      </c>
    </row>
    <row r="23" spans="1:16" ht="37.5" customHeight="1" x14ac:dyDescent="0.2">
      <c r="A23" s="3">
        <v>1701</v>
      </c>
      <c r="B23" s="4" t="s">
        <v>294</v>
      </c>
      <c r="C23" s="5">
        <v>530</v>
      </c>
      <c r="D23" s="6" t="str">
        <f>IF(C23&lt;=0,"",VLOOKUP(C23,[14]FF!A:D,2,0))</f>
        <v>PARTICIPACIONES Ramo 28</v>
      </c>
      <c r="E23" s="5" t="s">
        <v>299</v>
      </c>
      <c r="F23" s="7" t="s">
        <v>15</v>
      </c>
      <c r="G23" s="8">
        <v>216001</v>
      </c>
      <c r="H23" s="9" t="s">
        <v>18</v>
      </c>
      <c r="I23" s="10">
        <v>5512</v>
      </c>
      <c r="J23" s="10">
        <v>3000</v>
      </c>
      <c r="K23" s="10">
        <v>3000</v>
      </c>
      <c r="L23" s="10">
        <v>3000</v>
      </c>
      <c r="M23" s="41">
        <f>SUM(Tabla119[[#This Row],[TRIMESTRE  I]:[TRIMESTRE IV]])</f>
        <v>14512</v>
      </c>
      <c r="N23" s="12" t="s">
        <v>17</v>
      </c>
      <c r="O23" s="42">
        <v>45322</v>
      </c>
      <c r="P23" s="86" t="s">
        <v>296</v>
      </c>
    </row>
    <row r="24" spans="1:16" ht="37.5" customHeight="1" x14ac:dyDescent="0.2">
      <c r="A24" s="3">
        <v>1701</v>
      </c>
      <c r="B24" s="4" t="s">
        <v>294</v>
      </c>
      <c r="C24" s="5">
        <v>530</v>
      </c>
      <c r="D24" s="6" t="str">
        <f>IF(C24&lt;=0,"",VLOOKUP(C24,[14]FF!A:D,2,0))</f>
        <v>PARTICIPACIONES Ramo 28</v>
      </c>
      <c r="E24" s="5" t="s">
        <v>299</v>
      </c>
      <c r="F24" s="7" t="s">
        <v>15</v>
      </c>
      <c r="G24" s="8">
        <v>261001</v>
      </c>
      <c r="H24" s="9" t="s">
        <v>46</v>
      </c>
      <c r="I24" s="10">
        <v>14977</v>
      </c>
      <c r="J24" s="10">
        <v>6750</v>
      </c>
      <c r="K24" s="10">
        <v>6750</v>
      </c>
      <c r="L24" s="10">
        <v>6750</v>
      </c>
      <c r="M24" s="41">
        <f>SUM(Tabla119[[#This Row],[TRIMESTRE  I]:[TRIMESTRE IV]])</f>
        <v>35227</v>
      </c>
      <c r="N24" s="12" t="s">
        <v>17</v>
      </c>
      <c r="O24" s="42">
        <v>45322</v>
      </c>
      <c r="P24" s="86" t="s">
        <v>296</v>
      </c>
    </row>
    <row r="25" spans="1:16" ht="37.5" customHeight="1" x14ac:dyDescent="0.2">
      <c r="A25" s="3">
        <v>1701</v>
      </c>
      <c r="B25" s="4" t="s">
        <v>294</v>
      </c>
      <c r="C25" s="5">
        <v>530</v>
      </c>
      <c r="D25" s="6" t="str">
        <f>IF(C25&lt;=0,"",VLOOKUP(C25,[14]FF!A:D,2,0))</f>
        <v>PARTICIPACIONES Ramo 28</v>
      </c>
      <c r="E25" s="5" t="s">
        <v>299</v>
      </c>
      <c r="F25" s="7" t="s">
        <v>22</v>
      </c>
      <c r="G25" s="8">
        <v>323001</v>
      </c>
      <c r="H25" s="9" t="s">
        <v>374</v>
      </c>
      <c r="I25" s="10">
        <v>14616</v>
      </c>
      <c r="J25" s="10">
        <v>14616</v>
      </c>
      <c r="K25" s="10">
        <v>14616</v>
      </c>
      <c r="L25" s="10">
        <v>14616</v>
      </c>
      <c r="M25" s="41">
        <f>SUM(Tabla119[[#This Row],[TRIMESTRE  I]:[TRIMESTRE IV]])</f>
        <v>58464</v>
      </c>
      <c r="N25" s="12" t="s">
        <v>30</v>
      </c>
      <c r="O25" s="42">
        <v>45322</v>
      </c>
      <c r="P25" s="86" t="s">
        <v>297</v>
      </c>
    </row>
    <row r="26" spans="1:16" ht="37.5" customHeight="1" x14ac:dyDescent="0.2">
      <c r="A26" s="3">
        <v>1701</v>
      </c>
      <c r="B26" s="4" t="s">
        <v>294</v>
      </c>
      <c r="C26" s="5">
        <v>530</v>
      </c>
      <c r="D26" s="6" t="str">
        <f>IF(C26&lt;=0,"",VLOOKUP(C26,[14]FF!A:D,2,0))</f>
        <v>PARTICIPACIONES Ramo 28</v>
      </c>
      <c r="E26" s="5" t="s">
        <v>299</v>
      </c>
      <c r="F26" s="7" t="s">
        <v>22</v>
      </c>
      <c r="G26" s="8">
        <v>355001</v>
      </c>
      <c r="H26" s="9" t="s">
        <v>56</v>
      </c>
      <c r="I26" s="10">
        <v>5987</v>
      </c>
      <c r="J26" s="10">
        <v>5331</v>
      </c>
      <c r="K26" s="10">
        <v>2676</v>
      </c>
      <c r="L26" s="10">
        <v>1533</v>
      </c>
      <c r="M26" s="41">
        <f>SUM(Tabla119[[#This Row],[TRIMESTRE  I]:[TRIMESTRE IV]])</f>
        <v>15527</v>
      </c>
      <c r="N26" s="12" t="s">
        <v>19</v>
      </c>
      <c r="O26" s="42">
        <v>45322</v>
      </c>
      <c r="P26" s="86" t="s">
        <v>297</v>
      </c>
    </row>
    <row r="27" spans="1:16" ht="37.5" customHeight="1" x14ac:dyDescent="0.2">
      <c r="A27" s="3">
        <v>1701</v>
      </c>
      <c r="B27" s="4" t="s">
        <v>294</v>
      </c>
      <c r="C27" s="5">
        <v>530</v>
      </c>
      <c r="D27" s="6" t="str">
        <f>IF(C27&lt;=0,"",VLOOKUP(C27,[14]FF!A:D,2,0))</f>
        <v>PARTICIPACIONES Ramo 28</v>
      </c>
      <c r="E27" s="5" t="s">
        <v>300</v>
      </c>
      <c r="F27" s="7" t="s">
        <v>15</v>
      </c>
      <c r="G27" s="8">
        <v>211001</v>
      </c>
      <c r="H27" s="9" t="s">
        <v>16</v>
      </c>
      <c r="I27" s="10">
        <v>26052</v>
      </c>
      <c r="J27" s="10">
        <v>26052</v>
      </c>
      <c r="K27" s="10">
        <v>26052</v>
      </c>
      <c r="L27" s="10">
        <v>26056</v>
      </c>
      <c r="M27" s="41">
        <f>SUM(Tabla119[[#This Row],[TRIMESTRE  I]:[TRIMESTRE IV]])</f>
        <v>104212</v>
      </c>
      <c r="N27" s="12" t="s">
        <v>17</v>
      </c>
      <c r="O27" s="42">
        <v>45322</v>
      </c>
      <c r="P27" s="86" t="s">
        <v>296</v>
      </c>
    </row>
    <row r="28" spans="1:16" ht="37.5" customHeight="1" x14ac:dyDescent="0.2">
      <c r="A28" s="3">
        <v>1701</v>
      </c>
      <c r="B28" s="4" t="s">
        <v>294</v>
      </c>
      <c r="C28" s="5">
        <v>530</v>
      </c>
      <c r="D28" s="6" t="str">
        <f>IF(C28&lt;=0,"",VLOOKUP(C28,[14]FF!A:D,2,0))</f>
        <v>PARTICIPACIONES Ramo 28</v>
      </c>
      <c r="E28" s="5" t="s">
        <v>300</v>
      </c>
      <c r="F28" s="7" t="s">
        <v>15</v>
      </c>
      <c r="G28" s="8">
        <v>212001</v>
      </c>
      <c r="H28" s="9" t="s">
        <v>50</v>
      </c>
      <c r="I28" s="10">
        <v>42393</v>
      </c>
      <c r="J28" s="10">
        <v>42393</v>
      </c>
      <c r="K28" s="10">
        <v>42393</v>
      </c>
      <c r="L28" s="10">
        <v>42400</v>
      </c>
      <c r="M28" s="41">
        <f>SUM(Tabla119[[#This Row],[TRIMESTRE  I]:[TRIMESTRE IV]])</f>
        <v>169579</v>
      </c>
      <c r="N28" s="12" t="s">
        <v>19</v>
      </c>
      <c r="O28" s="42">
        <v>45322</v>
      </c>
      <c r="P28" s="86" t="s">
        <v>297</v>
      </c>
    </row>
    <row r="29" spans="1:16" ht="37.5" customHeight="1" x14ac:dyDescent="0.2">
      <c r="A29" s="3">
        <v>1701</v>
      </c>
      <c r="B29" s="4" t="s">
        <v>294</v>
      </c>
      <c r="C29" s="5">
        <v>530</v>
      </c>
      <c r="D29" s="6" t="str">
        <f>IF(C29&lt;=0,"",VLOOKUP(C29,[14]FF!A:D,2,0))</f>
        <v>PARTICIPACIONES Ramo 28</v>
      </c>
      <c r="E29" s="5" t="s">
        <v>300</v>
      </c>
      <c r="F29" s="7" t="s">
        <v>15</v>
      </c>
      <c r="G29" s="8">
        <v>216001</v>
      </c>
      <c r="H29" s="9" t="s">
        <v>18</v>
      </c>
      <c r="I29" s="10">
        <v>15141</v>
      </c>
      <c r="J29" s="10">
        <v>15141</v>
      </c>
      <c r="K29" s="10">
        <v>15141</v>
      </c>
      <c r="L29" s="10">
        <v>15151</v>
      </c>
      <c r="M29" s="41">
        <f>SUM(Tabla119[[#This Row],[TRIMESTRE  I]:[TRIMESTRE IV]])</f>
        <v>60574</v>
      </c>
      <c r="N29" s="12" t="s">
        <v>17</v>
      </c>
      <c r="O29" s="42">
        <v>45322</v>
      </c>
      <c r="P29" s="86" t="s">
        <v>296</v>
      </c>
    </row>
    <row r="30" spans="1:16" ht="37.5" customHeight="1" x14ac:dyDescent="0.2">
      <c r="A30" s="3">
        <v>1701</v>
      </c>
      <c r="B30" s="4" t="s">
        <v>294</v>
      </c>
      <c r="C30" s="5">
        <v>530</v>
      </c>
      <c r="D30" s="6" t="str">
        <f>IF(C30&lt;=0,"",VLOOKUP(C30,[14]FF!A:D,2,0))</f>
        <v>PARTICIPACIONES Ramo 28</v>
      </c>
      <c r="E30" s="5" t="s">
        <v>300</v>
      </c>
      <c r="F30" s="7" t="s">
        <v>15</v>
      </c>
      <c r="G30" s="8">
        <v>221001</v>
      </c>
      <c r="H30" s="9" t="s">
        <v>93</v>
      </c>
      <c r="I30" s="10">
        <v>13500</v>
      </c>
      <c r="J30" s="10">
        <v>13500</v>
      </c>
      <c r="K30" s="10">
        <v>13500</v>
      </c>
      <c r="L30" s="10">
        <v>13500</v>
      </c>
      <c r="M30" s="41">
        <f>SUM(Tabla119[[#This Row],[TRIMESTRE  I]:[TRIMESTRE IV]])</f>
        <v>54000</v>
      </c>
      <c r="N30" s="12" t="s">
        <v>19</v>
      </c>
      <c r="O30" s="42">
        <v>45322</v>
      </c>
      <c r="P30" s="86" t="s">
        <v>297</v>
      </c>
    </row>
    <row r="31" spans="1:16" ht="37.5" customHeight="1" x14ac:dyDescent="0.2">
      <c r="A31" s="3">
        <v>1701</v>
      </c>
      <c r="B31" s="4" t="s">
        <v>294</v>
      </c>
      <c r="C31" s="5">
        <v>530</v>
      </c>
      <c r="D31" s="6" t="str">
        <f>IF(C31&lt;=0,"",VLOOKUP(C31,[14]FF!A:D,2,0))</f>
        <v>PARTICIPACIONES Ramo 28</v>
      </c>
      <c r="E31" s="5" t="s">
        <v>300</v>
      </c>
      <c r="F31" s="7" t="s">
        <v>15</v>
      </c>
      <c r="G31" s="8">
        <v>261001</v>
      </c>
      <c r="H31" s="9" t="s">
        <v>46</v>
      </c>
      <c r="I31" s="10">
        <v>87300</v>
      </c>
      <c r="J31" s="10">
        <v>87300</v>
      </c>
      <c r="K31" s="10">
        <v>87300</v>
      </c>
      <c r="L31" s="10">
        <v>87300</v>
      </c>
      <c r="M31" s="41">
        <f>SUM(Tabla119[[#This Row],[TRIMESTRE  I]:[TRIMESTRE IV]])</f>
        <v>349200</v>
      </c>
      <c r="N31" s="12" t="s">
        <v>17</v>
      </c>
      <c r="O31" s="42">
        <v>45322</v>
      </c>
      <c r="P31" s="86" t="s">
        <v>301</v>
      </c>
    </row>
    <row r="32" spans="1:16" ht="37.5" customHeight="1" x14ac:dyDescent="0.2">
      <c r="A32" s="3">
        <v>1701</v>
      </c>
      <c r="B32" s="4" t="s">
        <v>294</v>
      </c>
      <c r="C32" s="5">
        <v>530</v>
      </c>
      <c r="D32" s="6" t="str">
        <f>IF(C32&lt;=0,"",VLOOKUP(C32,[14]FF!A:D,2,0))</f>
        <v>PARTICIPACIONES Ramo 28</v>
      </c>
      <c r="E32" s="5" t="s">
        <v>300</v>
      </c>
      <c r="F32" s="7" t="s">
        <v>15</v>
      </c>
      <c r="G32" s="8">
        <v>261002</v>
      </c>
      <c r="H32" s="9" t="s">
        <v>111</v>
      </c>
      <c r="I32" s="10">
        <v>2550</v>
      </c>
      <c r="J32" s="10">
        <v>2125</v>
      </c>
      <c r="K32" s="10">
        <v>905</v>
      </c>
      <c r="L32" s="10">
        <v>272</v>
      </c>
      <c r="M32" s="41">
        <f>SUM(Tabla119[[#This Row],[TRIMESTRE  I]:[TRIMESTRE IV]])</f>
        <v>5852</v>
      </c>
      <c r="N32" s="12" t="s">
        <v>19</v>
      </c>
      <c r="O32" s="42">
        <v>45322</v>
      </c>
      <c r="P32" s="86" t="s">
        <v>297</v>
      </c>
    </row>
    <row r="33" spans="1:16" ht="37.5" customHeight="1" x14ac:dyDescent="0.2">
      <c r="A33" s="3">
        <v>1701</v>
      </c>
      <c r="B33" s="4" t="s">
        <v>294</v>
      </c>
      <c r="C33" s="5">
        <v>530</v>
      </c>
      <c r="D33" s="6" t="str">
        <f>IF(C33&lt;=0,"",VLOOKUP(C33,[14]FF!A:D,2,0))</f>
        <v>PARTICIPACIONES Ramo 28</v>
      </c>
      <c r="E33" s="5" t="s">
        <v>300</v>
      </c>
      <c r="F33" s="7" t="s">
        <v>15</v>
      </c>
      <c r="G33" s="8">
        <v>296001</v>
      </c>
      <c r="H33" s="9" t="s">
        <v>51</v>
      </c>
      <c r="I33" s="10">
        <v>8502</v>
      </c>
      <c r="J33" s="10">
        <v>8156</v>
      </c>
      <c r="K33" s="10">
        <v>5100</v>
      </c>
      <c r="L33" s="10">
        <v>7314</v>
      </c>
      <c r="M33" s="41">
        <f>SUM(Tabla119[[#This Row],[TRIMESTRE  I]:[TRIMESTRE IV]])</f>
        <v>29072</v>
      </c>
      <c r="N33" s="12" t="s">
        <v>19</v>
      </c>
      <c r="O33" s="42">
        <v>45322</v>
      </c>
      <c r="P33" s="86" t="s">
        <v>297</v>
      </c>
    </row>
    <row r="34" spans="1:16" ht="37.5" customHeight="1" x14ac:dyDescent="0.2">
      <c r="A34" s="3">
        <v>1701</v>
      </c>
      <c r="B34" s="4" t="s">
        <v>294</v>
      </c>
      <c r="C34" s="5">
        <v>530</v>
      </c>
      <c r="D34" s="6" t="str">
        <f>IF(C34&lt;=0,"",VLOOKUP(C34,[14]FF!A:D,2,0))</f>
        <v>PARTICIPACIONES Ramo 28</v>
      </c>
      <c r="E34" s="5" t="s">
        <v>300</v>
      </c>
      <c r="F34" s="7" t="s">
        <v>22</v>
      </c>
      <c r="G34" s="8">
        <v>311001</v>
      </c>
      <c r="H34" s="9" t="s">
        <v>52</v>
      </c>
      <c r="I34" s="10">
        <v>34756</v>
      </c>
      <c r="J34" s="10">
        <v>50391</v>
      </c>
      <c r="K34" s="10">
        <v>65790</v>
      </c>
      <c r="L34" s="10">
        <v>69176</v>
      </c>
      <c r="M34" s="41">
        <f>SUM(Tabla119[[#This Row],[TRIMESTRE  I]:[TRIMESTRE IV]])</f>
        <v>220113</v>
      </c>
      <c r="N34" s="12" t="s">
        <v>17</v>
      </c>
      <c r="O34" s="42">
        <v>45322</v>
      </c>
      <c r="P34" s="86" t="s">
        <v>296</v>
      </c>
    </row>
    <row r="35" spans="1:16" ht="37.5" customHeight="1" x14ac:dyDescent="0.2">
      <c r="A35" s="3">
        <v>1701</v>
      </c>
      <c r="B35" s="4" t="s">
        <v>294</v>
      </c>
      <c r="C35" s="5">
        <v>530</v>
      </c>
      <c r="D35" s="6" t="str">
        <f>IF(C35&lt;=0,"",VLOOKUP(C35,[14]FF!A:D,2,0))</f>
        <v>PARTICIPACIONES Ramo 28</v>
      </c>
      <c r="E35" s="5" t="s">
        <v>300</v>
      </c>
      <c r="F35" s="7" t="s">
        <v>22</v>
      </c>
      <c r="G35" s="8">
        <v>313001</v>
      </c>
      <c r="H35" s="9" t="s">
        <v>53</v>
      </c>
      <c r="I35" s="10">
        <v>25569</v>
      </c>
      <c r="J35" s="10">
        <v>25569</v>
      </c>
      <c r="K35" s="10">
        <v>25569</v>
      </c>
      <c r="L35" s="10">
        <v>25569</v>
      </c>
      <c r="M35" s="41">
        <f>SUM(Tabla119[[#This Row],[TRIMESTRE  I]:[TRIMESTRE IV]])</f>
        <v>102276</v>
      </c>
      <c r="N35" s="12" t="s">
        <v>17</v>
      </c>
      <c r="O35" s="42">
        <v>45322</v>
      </c>
      <c r="P35" s="86" t="s">
        <v>296</v>
      </c>
    </row>
    <row r="36" spans="1:16" ht="37.5" customHeight="1" x14ac:dyDescent="0.2">
      <c r="A36" s="3">
        <v>1701</v>
      </c>
      <c r="B36" s="4" t="s">
        <v>294</v>
      </c>
      <c r="C36" s="5">
        <v>530</v>
      </c>
      <c r="D36" s="6" t="str">
        <f>IF(C36&lt;=0,"",VLOOKUP(C36,[14]FF!A:D,2,0))</f>
        <v>PARTICIPACIONES Ramo 28</v>
      </c>
      <c r="E36" s="5" t="s">
        <v>300</v>
      </c>
      <c r="F36" s="7" t="s">
        <v>22</v>
      </c>
      <c r="G36" s="8">
        <v>314001</v>
      </c>
      <c r="H36" s="9" t="s">
        <v>54</v>
      </c>
      <c r="I36" s="10">
        <v>57559</v>
      </c>
      <c r="J36" s="10">
        <v>56668</v>
      </c>
      <c r="K36" s="10">
        <v>0</v>
      </c>
      <c r="L36" s="10">
        <v>21490</v>
      </c>
      <c r="M36" s="41">
        <f>SUM(Tabla119[[#This Row],[TRIMESTRE  I]:[TRIMESTRE IV]])</f>
        <v>135717</v>
      </c>
      <c r="N36" s="12" t="s">
        <v>17</v>
      </c>
      <c r="O36" s="42">
        <v>45322</v>
      </c>
      <c r="P36" s="86" t="s">
        <v>296</v>
      </c>
    </row>
    <row r="37" spans="1:16" ht="37.5" customHeight="1" x14ac:dyDescent="0.2">
      <c r="A37" s="3">
        <v>1701</v>
      </c>
      <c r="B37" s="4" t="s">
        <v>294</v>
      </c>
      <c r="C37" s="5">
        <v>530</v>
      </c>
      <c r="D37" s="6" t="str">
        <f>IF(C37&lt;=0,"",VLOOKUP(C37,[14]FF!A:D,2,0))</f>
        <v>PARTICIPACIONES Ramo 28</v>
      </c>
      <c r="E37" s="5" t="s">
        <v>300</v>
      </c>
      <c r="F37" s="7" t="s">
        <v>22</v>
      </c>
      <c r="G37" s="8">
        <v>355001</v>
      </c>
      <c r="H37" s="9" t="s">
        <v>56</v>
      </c>
      <c r="I37" s="10">
        <v>23000</v>
      </c>
      <c r="J37" s="10">
        <v>22000</v>
      </c>
      <c r="K37" s="10">
        <v>21000</v>
      </c>
      <c r="L37" s="10">
        <v>23000</v>
      </c>
      <c r="M37" s="41">
        <f>SUM(Tabla119[[#This Row],[TRIMESTRE  I]:[TRIMESTRE IV]])</f>
        <v>89000</v>
      </c>
      <c r="N37" s="12" t="s">
        <v>19</v>
      </c>
      <c r="O37" s="42">
        <v>45322</v>
      </c>
      <c r="P37" s="86" t="s">
        <v>297</v>
      </c>
    </row>
    <row r="38" spans="1:16" ht="37.5" customHeight="1" x14ac:dyDescent="0.2">
      <c r="A38" s="3">
        <v>1701</v>
      </c>
      <c r="B38" s="4" t="s">
        <v>294</v>
      </c>
      <c r="C38" s="5">
        <v>530</v>
      </c>
      <c r="D38" s="6" t="str">
        <f>IF(C38&lt;=0,"",VLOOKUP(C38,[14]FF!A:D,2,0))</f>
        <v>PARTICIPACIONES Ramo 28</v>
      </c>
      <c r="E38" s="5" t="s">
        <v>300</v>
      </c>
      <c r="F38" s="7" t="s">
        <v>22</v>
      </c>
      <c r="G38" s="8">
        <v>371001</v>
      </c>
      <c r="H38" s="9" t="s">
        <v>31</v>
      </c>
      <c r="I38" s="10">
        <v>12750</v>
      </c>
      <c r="J38" s="10">
        <v>12750</v>
      </c>
      <c r="K38" s="10">
        <v>12750</v>
      </c>
      <c r="L38" s="10">
        <v>12750</v>
      </c>
      <c r="M38" s="41">
        <f>SUM(Tabla119[[#This Row],[TRIMESTRE  I]:[TRIMESTRE IV]])</f>
        <v>51000</v>
      </c>
      <c r="N38" s="12" t="s">
        <v>17</v>
      </c>
      <c r="O38" s="42">
        <v>45322</v>
      </c>
      <c r="P38" s="86" t="s">
        <v>301</v>
      </c>
    </row>
    <row r="39" spans="1:16" ht="37.5" customHeight="1" x14ac:dyDescent="0.2">
      <c r="A39" s="3">
        <v>1701</v>
      </c>
      <c r="B39" s="4" t="s">
        <v>294</v>
      </c>
      <c r="C39" s="5">
        <v>530</v>
      </c>
      <c r="D39" s="6" t="str">
        <f>IF(C39&lt;=0,"",VLOOKUP(C39,[14]FF!A:D,2,0))</f>
        <v>PARTICIPACIONES Ramo 28</v>
      </c>
      <c r="E39" s="5" t="s">
        <v>300</v>
      </c>
      <c r="F39" s="7" t="s">
        <v>22</v>
      </c>
      <c r="G39" s="8">
        <v>375001</v>
      </c>
      <c r="H39" s="9" t="s">
        <v>48</v>
      </c>
      <c r="I39" s="10">
        <v>43959</v>
      </c>
      <c r="J39" s="10">
        <v>38250</v>
      </c>
      <c r="K39" s="10">
        <v>38250</v>
      </c>
      <c r="L39" s="10">
        <v>38250</v>
      </c>
      <c r="M39" s="41">
        <f>SUM(Tabla119[[#This Row],[TRIMESTRE  I]:[TRIMESTRE IV]])</f>
        <v>158709</v>
      </c>
      <c r="N39" s="12" t="s">
        <v>19</v>
      </c>
      <c r="O39" s="42">
        <v>45322</v>
      </c>
      <c r="P39" s="86" t="s">
        <v>297</v>
      </c>
    </row>
    <row r="40" spans="1:16" ht="37.5" customHeight="1" x14ac:dyDescent="0.2">
      <c r="A40" s="3">
        <v>1701</v>
      </c>
      <c r="B40" s="4" t="s">
        <v>302</v>
      </c>
      <c r="C40" s="5">
        <v>530</v>
      </c>
      <c r="D40" s="6" t="str">
        <f>IF(C40&lt;=0,"",VLOOKUP(C40,[14]FF!A:D,2,0))</f>
        <v>PARTICIPACIONES Ramo 28</v>
      </c>
      <c r="E40" s="5" t="s">
        <v>303</v>
      </c>
      <c r="F40" s="7" t="s">
        <v>15</v>
      </c>
      <c r="G40" s="8">
        <v>211001</v>
      </c>
      <c r="H40" s="9" t="s">
        <v>16</v>
      </c>
      <c r="I40" s="10">
        <v>7650</v>
      </c>
      <c r="J40" s="10">
        <v>7650</v>
      </c>
      <c r="K40" s="10">
        <v>7650</v>
      </c>
      <c r="L40" s="10">
        <v>7650</v>
      </c>
      <c r="M40" s="41">
        <f>SUM(Tabla119[[#This Row],[TRIMESTRE  I]:[TRIMESTRE IV]])</f>
        <v>30600</v>
      </c>
      <c r="N40" s="12" t="s">
        <v>17</v>
      </c>
      <c r="O40" s="42">
        <v>45322</v>
      </c>
      <c r="P40" s="86" t="s">
        <v>296</v>
      </c>
    </row>
    <row r="41" spans="1:16" ht="37.5" customHeight="1" x14ac:dyDescent="0.2">
      <c r="A41" s="3">
        <v>1701</v>
      </c>
      <c r="B41" s="4" t="s">
        <v>302</v>
      </c>
      <c r="C41" s="5">
        <v>530</v>
      </c>
      <c r="D41" s="6" t="str">
        <f>IF(C41&lt;=0,"",VLOOKUP(C41,[14]FF!A:D,2,0))</f>
        <v>PARTICIPACIONES Ramo 28</v>
      </c>
      <c r="E41" s="5" t="s">
        <v>303</v>
      </c>
      <c r="F41" s="7" t="s">
        <v>15</v>
      </c>
      <c r="G41" s="8">
        <v>212001</v>
      </c>
      <c r="H41" s="9" t="s">
        <v>50</v>
      </c>
      <c r="I41" s="10">
        <v>2550</v>
      </c>
      <c r="J41" s="10">
        <v>3825</v>
      </c>
      <c r="K41" s="10">
        <v>3825</v>
      </c>
      <c r="L41" s="10">
        <v>3825</v>
      </c>
      <c r="M41" s="41">
        <f>SUM(Tabla119[[#This Row],[TRIMESTRE  I]:[TRIMESTRE IV]])</f>
        <v>14025</v>
      </c>
      <c r="N41" s="12" t="s">
        <v>19</v>
      </c>
      <c r="O41" s="42">
        <v>45322</v>
      </c>
      <c r="P41" s="86" t="s">
        <v>297</v>
      </c>
    </row>
    <row r="42" spans="1:16" ht="37.5" customHeight="1" x14ac:dyDescent="0.2">
      <c r="A42" s="3">
        <v>1701</v>
      </c>
      <c r="B42" s="4" t="s">
        <v>302</v>
      </c>
      <c r="C42" s="5">
        <v>530</v>
      </c>
      <c r="D42" s="6" t="str">
        <f>IF(C42&lt;=0,"",VLOOKUP(C42,[14]FF!A:D,2,0))</f>
        <v>PARTICIPACIONES Ramo 28</v>
      </c>
      <c r="E42" s="5" t="s">
        <v>303</v>
      </c>
      <c r="F42" s="7" t="s">
        <v>15</v>
      </c>
      <c r="G42" s="8">
        <v>216001</v>
      </c>
      <c r="H42" s="9" t="s">
        <v>18</v>
      </c>
      <c r="I42" s="10">
        <v>5100</v>
      </c>
      <c r="J42" s="10">
        <v>5241</v>
      </c>
      <c r="K42" s="10">
        <v>5100</v>
      </c>
      <c r="L42" s="10">
        <v>5100</v>
      </c>
      <c r="M42" s="41">
        <f>SUM(Tabla119[[#This Row],[TRIMESTRE  I]:[TRIMESTRE IV]])</f>
        <v>20541</v>
      </c>
      <c r="N42" s="12" t="s">
        <v>17</v>
      </c>
      <c r="O42" s="42">
        <v>45322</v>
      </c>
      <c r="P42" s="86" t="s">
        <v>296</v>
      </c>
    </row>
    <row r="43" spans="1:16" ht="37.5" customHeight="1" x14ac:dyDescent="0.2">
      <c r="A43" s="3">
        <v>1701</v>
      </c>
      <c r="B43" s="4" t="s">
        <v>302</v>
      </c>
      <c r="C43" s="5">
        <v>530</v>
      </c>
      <c r="D43" s="6" t="str">
        <f>IF(C43&lt;=0,"",VLOOKUP(C43,[14]FF!A:D,2,0))</f>
        <v>PARTICIPACIONES Ramo 28</v>
      </c>
      <c r="E43" s="5" t="s">
        <v>303</v>
      </c>
      <c r="F43" s="7" t="s">
        <v>15</v>
      </c>
      <c r="G43" s="8">
        <v>261001</v>
      </c>
      <c r="H43" s="9" t="s">
        <v>46</v>
      </c>
      <c r="I43" s="10">
        <v>16200</v>
      </c>
      <c r="J43" s="10">
        <v>16200</v>
      </c>
      <c r="K43" s="10">
        <v>16200</v>
      </c>
      <c r="L43" s="10">
        <v>16200</v>
      </c>
      <c r="M43" s="41">
        <f>SUM(Tabla119[[#This Row],[TRIMESTRE  I]:[TRIMESTRE IV]])</f>
        <v>64800</v>
      </c>
      <c r="N43" s="12" t="s">
        <v>17</v>
      </c>
      <c r="O43" s="42">
        <v>45322</v>
      </c>
      <c r="P43" s="86" t="s">
        <v>296</v>
      </c>
    </row>
    <row r="44" spans="1:16" ht="37.5" customHeight="1" x14ac:dyDescent="0.2">
      <c r="A44" s="3">
        <v>1701</v>
      </c>
      <c r="B44" s="4" t="s">
        <v>302</v>
      </c>
      <c r="C44" s="5">
        <v>530</v>
      </c>
      <c r="D44" s="6" t="str">
        <f>IF(C44&lt;=0,"",VLOOKUP(C44,[14]FF!A:D,2,0))</f>
        <v>PARTICIPACIONES Ramo 28</v>
      </c>
      <c r="E44" s="5" t="s">
        <v>303</v>
      </c>
      <c r="F44" s="7" t="s">
        <v>15</v>
      </c>
      <c r="G44" s="8">
        <v>261002</v>
      </c>
      <c r="H44" s="9" t="s">
        <v>111</v>
      </c>
      <c r="I44" s="10">
        <v>3400</v>
      </c>
      <c r="J44" s="10">
        <v>5100</v>
      </c>
      <c r="K44" s="10">
        <v>5100</v>
      </c>
      <c r="L44" s="10">
        <v>5100</v>
      </c>
      <c r="M44" s="41">
        <f>SUM(Tabla119[[#This Row],[TRIMESTRE  I]:[TRIMESTRE IV]])</f>
        <v>18700</v>
      </c>
      <c r="N44" s="12" t="s">
        <v>19</v>
      </c>
      <c r="O44" s="42">
        <v>45322</v>
      </c>
      <c r="P44" s="86" t="s">
        <v>297</v>
      </c>
    </row>
    <row r="45" spans="1:16" ht="37.5" customHeight="1" x14ac:dyDescent="0.2">
      <c r="A45" s="3">
        <v>1701</v>
      </c>
      <c r="B45" s="4" t="s">
        <v>302</v>
      </c>
      <c r="C45" s="5">
        <v>530</v>
      </c>
      <c r="D45" s="6" t="str">
        <f>IF(C45&lt;=0,"",VLOOKUP(C45,[14]FF!A:D,2,0))</f>
        <v>PARTICIPACIONES Ramo 28</v>
      </c>
      <c r="E45" s="5" t="s">
        <v>303</v>
      </c>
      <c r="F45" s="7" t="s">
        <v>15</v>
      </c>
      <c r="G45" s="8">
        <v>296001</v>
      </c>
      <c r="H45" s="9" t="s">
        <v>51</v>
      </c>
      <c r="I45" s="10">
        <v>5100</v>
      </c>
      <c r="J45" s="10">
        <v>5100</v>
      </c>
      <c r="K45" s="10">
        <v>5100</v>
      </c>
      <c r="L45" s="10">
        <v>5100</v>
      </c>
      <c r="M45" s="41">
        <f>SUM(Tabla119[[#This Row],[TRIMESTRE  I]:[TRIMESTRE IV]])</f>
        <v>20400</v>
      </c>
      <c r="N45" s="12" t="s">
        <v>19</v>
      </c>
      <c r="O45" s="42">
        <v>45322</v>
      </c>
      <c r="P45" s="86" t="s">
        <v>297</v>
      </c>
    </row>
    <row r="46" spans="1:16" ht="37.5" customHeight="1" x14ac:dyDescent="0.2">
      <c r="A46" s="3">
        <v>1701</v>
      </c>
      <c r="B46" s="4" t="s">
        <v>302</v>
      </c>
      <c r="C46" s="5">
        <v>530</v>
      </c>
      <c r="D46" s="6" t="str">
        <f>IF(C46&lt;=0,"",VLOOKUP(C46,[14]FF!A:D,2,0))</f>
        <v>PARTICIPACIONES Ramo 28</v>
      </c>
      <c r="E46" s="5" t="s">
        <v>303</v>
      </c>
      <c r="F46" s="7" t="s">
        <v>22</v>
      </c>
      <c r="G46" s="8">
        <v>351001</v>
      </c>
      <c r="H46" s="9" t="s">
        <v>153</v>
      </c>
      <c r="I46" s="10">
        <v>1700</v>
      </c>
      <c r="J46" s="10">
        <v>1700</v>
      </c>
      <c r="K46" s="10">
        <v>0</v>
      </c>
      <c r="L46" s="10">
        <v>1700</v>
      </c>
      <c r="M46" s="41">
        <f>SUM(Tabla119[[#This Row],[TRIMESTRE  I]:[TRIMESTRE IV]])</f>
        <v>5100</v>
      </c>
      <c r="N46" s="12" t="s">
        <v>19</v>
      </c>
      <c r="O46" s="42">
        <v>45322</v>
      </c>
      <c r="P46" s="86" t="s">
        <v>297</v>
      </c>
    </row>
    <row r="47" spans="1:16" ht="37.5" customHeight="1" x14ac:dyDescent="0.2">
      <c r="A47" s="3">
        <v>1701</v>
      </c>
      <c r="B47" s="4" t="s">
        <v>302</v>
      </c>
      <c r="C47" s="5">
        <v>530</v>
      </c>
      <c r="D47" s="6" t="str">
        <f>IF(C47&lt;=0,"",VLOOKUP(C47,[14]FF!A:D,2,0))</f>
        <v>PARTICIPACIONES Ramo 28</v>
      </c>
      <c r="E47" s="5" t="s">
        <v>303</v>
      </c>
      <c r="F47" s="7" t="s">
        <v>22</v>
      </c>
      <c r="G47" s="8">
        <v>352001</v>
      </c>
      <c r="H47" s="9" t="s">
        <v>167</v>
      </c>
      <c r="I47" s="10">
        <v>2550</v>
      </c>
      <c r="J47" s="10">
        <v>2550</v>
      </c>
      <c r="K47" s="10">
        <v>0</v>
      </c>
      <c r="L47" s="10">
        <v>2550</v>
      </c>
      <c r="M47" s="41">
        <f>SUM(Tabla119[[#This Row],[TRIMESTRE  I]:[TRIMESTRE IV]])</f>
        <v>7650</v>
      </c>
      <c r="N47" s="12" t="s">
        <v>19</v>
      </c>
      <c r="O47" s="42">
        <v>45322</v>
      </c>
      <c r="P47" s="86" t="s">
        <v>297</v>
      </c>
    </row>
    <row r="48" spans="1:16" ht="37.5" customHeight="1" x14ac:dyDescent="0.2">
      <c r="A48" s="3">
        <v>1701</v>
      </c>
      <c r="B48" s="4" t="s">
        <v>302</v>
      </c>
      <c r="C48" s="5">
        <v>530</v>
      </c>
      <c r="D48" s="6" t="str">
        <f>IF(C48&lt;=0,"",VLOOKUP(C48,[14]FF!A:D,2,0))</f>
        <v>PARTICIPACIONES Ramo 28</v>
      </c>
      <c r="E48" s="5" t="s">
        <v>303</v>
      </c>
      <c r="F48" s="7" t="s">
        <v>22</v>
      </c>
      <c r="G48" s="8">
        <v>355001</v>
      </c>
      <c r="H48" s="9" t="s">
        <v>56</v>
      </c>
      <c r="I48" s="10">
        <v>4000</v>
      </c>
      <c r="J48" s="10">
        <v>4500</v>
      </c>
      <c r="K48" s="10">
        <v>4500</v>
      </c>
      <c r="L48" s="10">
        <v>4500</v>
      </c>
      <c r="M48" s="41">
        <f>SUM(Tabla119[[#This Row],[TRIMESTRE  I]:[TRIMESTRE IV]])</f>
        <v>17500</v>
      </c>
      <c r="N48" s="12" t="s">
        <v>19</v>
      </c>
      <c r="O48" s="42">
        <v>45322</v>
      </c>
      <c r="P48" s="86" t="s">
        <v>297</v>
      </c>
    </row>
    <row r="49" spans="1:16" ht="37.5" customHeight="1" x14ac:dyDescent="0.2">
      <c r="A49" s="3">
        <v>1701</v>
      </c>
      <c r="B49" s="4" t="s">
        <v>302</v>
      </c>
      <c r="C49" s="5">
        <v>530</v>
      </c>
      <c r="D49" s="6" t="str">
        <f>IF(C49&lt;=0,"",VLOOKUP(C49,[14]FF!A:D,2,0))</f>
        <v>PARTICIPACIONES Ramo 28</v>
      </c>
      <c r="E49" s="5" t="s">
        <v>303</v>
      </c>
      <c r="F49" s="7" t="s">
        <v>22</v>
      </c>
      <c r="G49" s="8">
        <v>375001</v>
      </c>
      <c r="H49" s="9" t="s">
        <v>48</v>
      </c>
      <c r="I49" s="10">
        <v>21141</v>
      </c>
      <c r="J49" s="10">
        <v>18916</v>
      </c>
      <c r="K49" s="10">
        <v>11312</v>
      </c>
      <c r="L49" s="10">
        <v>15574</v>
      </c>
      <c r="M49" s="41">
        <f>SUM(Tabla119[[#This Row],[TRIMESTRE  I]:[TRIMESTRE IV]])</f>
        <v>66943</v>
      </c>
      <c r="N49" s="12" t="s">
        <v>19</v>
      </c>
      <c r="O49" s="42">
        <v>45322</v>
      </c>
      <c r="P49" s="86" t="s">
        <v>297</v>
      </c>
    </row>
    <row r="50" spans="1:16" ht="37.5" customHeight="1" x14ac:dyDescent="0.2">
      <c r="A50" s="3">
        <v>1702</v>
      </c>
      <c r="B50" s="4" t="s">
        <v>302</v>
      </c>
      <c r="C50" s="5">
        <v>530</v>
      </c>
      <c r="D50" s="6" t="str">
        <f>IF(C50&lt;=0,"",VLOOKUP(C50,[14]FF!A:D,2,0))</f>
        <v>PARTICIPACIONES Ramo 28</v>
      </c>
      <c r="E50" s="5" t="s">
        <v>304</v>
      </c>
      <c r="F50" s="7" t="s">
        <v>15</v>
      </c>
      <c r="G50" s="8">
        <v>211001</v>
      </c>
      <c r="H50" s="9" t="s">
        <v>16</v>
      </c>
      <c r="I50" s="10">
        <v>3890</v>
      </c>
      <c r="J50" s="10">
        <v>3189</v>
      </c>
      <c r="K50" s="10">
        <v>3189</v>
      </c>
      <c r="L50" s="10">
        <v>3235</v>
      </c>
      <c r="M50" s="41">
        <f>SUM(Tabla119[[#This Row],[TRIMESTRE  I]:[TRIMESTRE IV]])</f>
        <v>13503</v>
      </c>
      <c r="N50" s="12" t="s">
        <v>17</v>
      </c>
      <c r="O50" s="42">
        <v>45322</v>
      </c>
      <c r="P50" s="86" t="s">
        <v>296</v>
      </c>
    </row>
    <row r="51" spans="1:16" ht="37.5" customHeight="1" x14ac:dyDescent="0.2">
      <c r="A51" s="3">
        <v>1702</v>
      </c>
      <c r="B51" s="4" t="s">
        <v>302</v>
      </c>
      <c r="C51" s="5">
        <v>530</v>
      </c>
      <c r="D51" s="6" t="str">
        <f>IF(C51&lt;=0,"",VLOOKUP(C51,[14]FF!A:D,2,0))</f>
        <v>PARTICIPACIONES Ramo 28</v>
      </c>
      <c r="E51" s="5" t="s">
        <v>304</v>
      </c>
      <c r="F51" s="7" t="s">
        <v>15</v>
      </c>
      <c r="G51" s="8">
        <v>212001</v>
      </c>
      <c r="H51" s="9" t="s">
        <v>50</v>
      </c>
      <c r="I51" s="10">
        <v>4165</v>
      </c>
      <c r="J51" s="10">
        <v>2380</v>
      </c>
      <c r="K51" s="10">
        <v>1020</v>
      </c>
      <c r="L51" s="10">
        <v>2040</v>
      </c>
      <c r="M51" s="41">
        <f>SUM(Tabla119[[#This Row],[TRIMESTRE  I]:[TRIMESTRE IV]])</f>
        <v>9605</v>
      </c>
      <c r="N51" s="12" t="s">
        <v>19</v>
      </c>
      <c r="O51" s="42">
        <v>45322</v>
      </c>
      <c r="P51" s="86" t="s">
        <v>297</v>
      </c>
    </row>
    <row r="52" spans="1:16" ht="37.5" customHeight="1" x14ac:dyDescent="0.2">
      <c r="A52" s="3">
        <v>1702</v>
      </c>
      <c r="B52" s="4" t="s">
        <v>302</v>
      </c>
      <c r="C52" s="5">
        <v>530</v>
      </c>
      <c r="D52" s="6" t="str">
        <f>IF(C52&lt;=0,"",VLOOKUP(C52,[14]FF!A:D,2,0))</f>
        <v>PARTICIPACIONES Ramo 28</v>
      </c>
      <c r="E52" s="5" t="s">
        <v>304</v>
      </c>
      <c r="F52" s="7" t="s">
        <v>15</v>
      </c>
      <c r="G52" s="8">
        <v>216001</v>
      </c>
      <c r="H52" s="9" t="s">
        <v>18</v>
      </c>
      <c r="I52" s="10">
        <v>4650</v>
      </c>
      <c r="J52" s="10">
        <v>3000</v>
      </c>
      <c r="K52" s="10">
        <v>3000</v>
      </c>
      <c r="L52" s="10">
        <v>3000</v>
      </c>
      <c r="M52" s="41">
        <f>SUM(Tabla119[[#This Row],[TRIMESTRE  I]:[TRIMESTRE IV]])</f>
        <v>13650</v>
      </c>
      <c r="N52" s="12" t="s">
        <v>17</v>
      </c>
      <c r="O52" s="42">
        <v>45322</v>
      </c>
      <c r="P52" s="86" t="s">
        <v>296</v>
      </c>
    </row>
    <row r="53" spans="1:16" ht="37.5" customHeight="1" x14ac:dyDescent="0.2">
      <c r="A53" s="3">
        <v>1702</v>
      </c>
      <c r="B53" s="4" t="s">
        <v>302</v>
      </c>
      <c r="C53" s="5">
        <v>530</v>
      </c>
      <c r="D53" s="6" t="str">
        <f>IF(C53&lt;=0,"",VLOOKUP(C53,[14]FF!A:D,2,0))</f>
        <v>PARTICIPACIONES Ramo 28</v>
      </c>
      <c r="E53" s="5" t="s">
        <v>304</v>
      </c>
      <c r="F53" s="7" t="s">
        <v>15</v>
      </c>
      <c r="G53" s="8">
        <v>261001</v>
      </c>
      <c r="H53" s="9" t="s">
        <v>46</v>
      </c>
      <c r="I53" s="10">
        <v>12450</v>
      </c>
      <c r="J53" s="10">
        <v>9450</v>
      </c>
      <c r="K53" s="10">
        <v>9450</v>
      </c>
      <c r="L53" s="10">
        <v>9450</v>
      </c>
      <c r="M53" s="41">
        <f>SUM(Tabla119[[#This Row],[TRIMESTRE  I]:[TRIMESTRE IV]])</f>
        <v>40800</v>
      </c>
      <c r="N53" s="12" t="s">
        <v>17</v>
      </c>
      <c r="O53" s="42">
        <v>45322</v>
      </c>
      <c r="P53" s="86" t="s">
        <v>296</v>
      </c>
    </row>
    <row r="54" spans="1:16" ht="37.5" customHeight="1" x14ac:dyDescent="0.2">
      <c r="A54" s="3">
        <v>1702</v>
      </c>
      <c r="B54" s="4" t="s">
        <v>302</v>
      </c>
      <c r="C54" s="5">
        <v>530</v>
      </c>
      <c r="D54" s="6" t="str">
        <f>IF(C54&lt;=0,"",VLOOKUP(C54,[14]FF!A:D,2,0))</f>
        <v>PARTICIPACIONES Ramo 28</v>
      </c>
      <c r="E54" s="5" t="s">
        <v>304</v>
      </c>
      <c r="F54" s="7" t="s">
        <v>15</v>
      </c>
      <c r="G54" s="8">
        <v>261002</v>
      </c>
      <c r="H54" s="9" t="s">
        <v>111</v>
      </c>
      <c r="I54" s="10">
        <v>2575</v>
      </c>
      <c r="J54" s="10">
        <v>3000</v>
      </c>
      <c r="K54" s="10">
        <v>3000</v>
      </c>
      <c r="L54" s="10">
        <v>2700</v>
      </c>
      <c r="M54" s="41">
        <f>SUM(Tabla119[[#This Row],[TRIMESTRE  I]:[TRIMESTRE IV]])</f>
        <v>11275</v>
      </c>
      <c r="N54" s="12" t="s">
        <v>19</v>
      </c>
      <c r="O54" s="42">
        <v>45322</v>
      </c>
      <c r="P54" s="86" t="s">
        <v>297</v>
      </c>
    </row>
    <row r="55" spans="1:16" ht="37.5" customHeight="1" x14ac:dyDescent="0.2">
      <c r="A55" s="3">
        <v>1702</v>
      </c>
      <c r="B55" s="4" t="s">
        <v>302</v>
      </c>
      <c r="C55" s="5">
        <v>530</v>
      </c>
      <c r="D55" s="6" t="str">
        <f>IF(C55&lt;=0,"",VLOOKUP(C55,[14]FF!A:D,2,0))</f>
        <v>PARTICIPACIONES Ramo 28</v>
      </c>
      <c r="E55" s="5" t="s">
        <v>304</v>
      </c>
      <c r="F55" s="7" t="s">
        <v>15</v>
      </c>
      <c r="G55" s="8">
        <v>296001</v>
      </c>
      <c r="H55" s="9" t="s">
        <v>51</v>
      </c>
      <c r="I55" s="10">
        <v>2127</v>
      </c>
      <c r="J55" s="10">
        <v>1277</v>
      </c>
      <c r="K55" s="10">
        <v>0</v>
      </c>
      <c r="L55" s="10">
        <v>2214</v>
      </c>
      <c r="M55" s="41">
        <f>SUM(Tabla119[[#This Row],[TRIMESTRE  I]:[TRIMESTRE IV]])</f>
        <v>5618</v>
      </c>
      <c r="N55" s="12" t="s">
        <v>19</v>
      </c>
      <c r="O55" s="42">
        <v>45322</v>
      </c>
      <c r="P55" s="86" t="s">
        <v>297</v>
      </c>
    </row>
    <row r="56" spans="1:16" ht="37.5" customHeight="1" x14ac:dyDescent="0.2">
      <c r="A56" s="3">
        <v>1702</v>
      </c>
      <c r="B56" s="4" t="s">
        <v>302</v>
      </c>
      <c r="C56" s="5">
        <v>530</v>
      </c>
      <c r="D56" s="6" t="str">
        <f>IF(C56&lt;=0,"",VLOOKUP(C56,[14]FF!A:D,2,0))</f>
        <v>PARTICIPACIONES Ramo 28</v>
      </c>
      <c r="E56" s="5" t="s">
        <v>304</v>
      </c>
      <c r="F56" s="7" t="s">
        <v>22</v>
      </c>
      <c r="G56" s="8">
        <v>311001</v>
      </c>
      <c r="H56" s="9" t="s">
        <v>52</v>
      </c>
      <c r="I56" s="10">
        <v>6206</v>
      </c>
      <c r="J56" s="10">
        <v>23336</v>
      </c>
      <c r="K56" s="10">
        <v>51092</v>
      </c>
      <c r="L56" s="10">
        <v>51545</v>
      </c>
      <c r="M56" s="41">
        <f>SUM(Tabla119[[#This Row],[TRIMESTRE  I]:[TRIMESTRE IV]])</f>
        <v>132179</v>
      </c>
      <c r="N56" s="12" t="s">
        <v>17</v>
      </c>
      <c r="O56" s="42">
        <v>45322</v>
      </c>
      <c r="P56" s="86" t="s">
        <v>296</v>
      </c>
    </row>
    <row r="57" spans="1:16" ht="37.5" customHeight="1" x14ac:dyDescent="0.2">
      <c r="A57" s="3">
        <v>1702</v>
      </c>
      <c r="B57" s="4" t="s">
        <v>302</v>
      </c>
      <c r="C57" s="5">
        <v>530</v>
      </c>
      <c r="D57" s="6" t="str">
        <f>IF(C57&lt;=0,"",VLOOKUP(C57,[14]FF!A:D,2,0))</f>
        <v>PARTICIPACIONES Ramo 28</v>
      </c>
      <c r="E57" s="5" t="s">
        <v>304</v>
      </c>
      <c r="F57" s="7" t="s">
        <v>22</v>
      </c>
      <c r="G57" s="8">
        <v>314001</v>
      </c>
      <c r="H57" s="9" t="s">
        <v>54</v>
      </c>
      <c r="I57" s="10">
        <v>38573</v>
      </c>
      <c r="J57" s="10">
        <v>42352</v>
      </c>
      <c r="K57" s="10">
        <v>18179</v>
      </c>
      <c r="L57" s="10">
        <v>29636</v>
      </c>
      <c r="M57" s="41">
        <f>SUM(Tabla119[[#This Row],[TRIMESTRE  I]:[TRIMESTRE IV]])</f>
        <v>128740</v>
      </c>
      <c r="N57" s="12" t="s">
        <v>17</v>
      </c>
      <c r="O57" s="42">
        <v>45322</v>
      </c>
      <c r="P57" s="86" t="s">
        <v>296</v>
      </c>
    </row>
    <row r="58" spans="1:16" ht="37.5" customHeight="1" x14ac:dyDescent="0.2">
      <c r="A58" s="3">
        <v>1702</v>
      </c>
      <c r="B58" s="4" t="s">
        <v>302</v>
      </c>
      <c r="C58" s="5">
        <v>530</v>
      </c>
      <c r="D58" s="6" t="str">
        <f>IF(C58&lt;=0,"",VLOOKUP(C58,[14]FF!A:D,2,0))</f>
        <v>PARTICIPACIONES Ramo 28</v>
      </c>
      <c r="E58" s="5" t="s">
        <v>304</v>
      </c>
      <c r="F58" s="7" t="s">
        <v>22</v>
      </c>
      <c r="G58" s="8">
        <v>323001</v>
      </c>
      <c r="H58" s="9" t="s">
        <v>374</v>
      </c>
      <c r="I58" s="10">
        <v>14616</v>
      </c>
      <c r="J58" s="10">
        <v>14616</v>
      </c>
      <c r="K58" s="10">
        <v>14616</v>
      </c>
      <c r="L58" s="10">
        <v>14616</v>
      </c>
      <c r="M58" s="41">
        <f>SUM(Tabla119[[#This Row],[TRIMESTRE  I]:[TRIMESTRE IV]])</f>
        <v>58464</v>
      </c>
      <c r="N58" s="12" t="s">
        <v>30</v>
      </c>
      <c r="O58" s="42">
        <v>45322</v>
      </c>
      <c r="P58" s="86" t="s">
        <v>297</v>
      </c>
    </row>
    <row r="59" spans="1:16" ht="37.5" customHeight="1" x14ac:dyDescent="0.2">
      <c r="A59" s="3">
        <v>1702</v>
      </c>
      <c r="B59" s="4" t="s">
        <v>302</v>
      </c>
      <c r="C59" s="5">
        <v>530</v>
      </c>
      <c r="D59" s="6" t="str">
        <f>IF(C59&lt;=0,"",VLOOKUP(C59,[14]FF!A:D,2,0))</f>
        <v>PARTICIPACIONES Ramo 28</v>
      </c>
      <c r="E59" s="5" t="s">
        <v>304</v>
      </c>
      <c r="F59" s="7" t="s">
        <v>22</v>
      </c>
      <c r="G59" s="8">
        <v>355001</v>
      </c>
      <c r="H59" s="9" t="s">
        <v>56</v>
      </c>
      <c r="I59" s="10">
        <v>29390</v>
      </c>
      <c r="J59" s="10">
        <v>37635</v>
      </c>
      <c r="K59" s="10">
        <v>37145</v>
      </c>
      <c r="L59" s="10">
        <v>34635</v>
      </c>
      <c r="M59" s="41">
        <f>SUM(Tabla119[[#This Row],[TRIMESTRE  I]:[TRIMESTRE IV]])</f>
        <v>138805</v>
      </c>
      <c r="N59" s="12" t="s">
        <v>19</v>
      </c>
      <c r="O59" s="42">
        <v>45322</v>
      </c>
      <c r="P59" s="86" t="s">
        <v>297</v>
      </c>
    </row>
    <row r="60" spans="1:16" ht="37.5" customHeight="1" x14ac:dyDescent="0.2">
      <c r="A60" s="3">
        <v>1702</v>
      </c>
      <c r="B60" s="4" t="s">
        <v>302</v>
      </c>
      <c r="C60" s="5">
        <v>530</v>
      </c>
      <c r="D60" s="6" t="str">
        <f>IF(C60&lt;=0,"",VLOOKUP(C60,[14]FF!A:D,2,0))</f>
        <v>PARTICIPACIONES Ramo 28</v>
      </c>
      <c r="E60" s="5" t="s">
        <v>304</v>
      </c>
      <c r="F60" s="7" t="s">
        <v>22</v>
      </c>
      <c r="G60" s="8">
        <v>375001</v>
      </c>
      <c r="H60" s="9" t="s">
        <v>48</v>
      </c>
      <c r="I60" s="10">
        <v>17141</v>
      </c>
      <c r="J60" s="10">
        <v>15141</v>
      </c>
      <c r="K60" s="10">
        <v>14898</v>
      </c>
      <c r="L60" s="10">
        <v>16141</v>
      </c>
      <c r="M60" s="41">
        <f>SUM(Tabla119[[#This Row],[TRIMESTRE  I]:[TRIMESTRE IV]])</f>
        <v>63321</v>
      </c>
      <c r="N60" s="12" t="s">
        <v>19</v>
      </c>
      <c r="O60" s="42">
        <v>45322</v>
      </c>
      <c r="P60" s="86" t="s">
        <v>297</v>
      </c>
    </row>
    <row r="61" spans="1:16" ht="37.5" customHeight="1" x14ac:dyDescent="0.2">
      <c r="A61" s="3">
        <v>1703</v>
      </c>
      <c r="B61" s="4" t="s">
        <v>302</v>
      </c>
      <c r="C61" s="5">
        <v>530</v>
      </c>
      <c r="D61" s="6" t="str">
        <f>IF(C61&lt;=0,"",VLOOKUP(C61,[14]FF!A:D,2,0))</f>
        <v>PARTICIPACIONES Ramo 28</v>
      </c>
      <c r="E61" s="5" t="s">
        <v>305</v>
      </c>
      <c r="F61" s="7" t="s">
        <v>15</v>
      </c>
      <c r="G61" s="8">
        <v>211001</v>
      </c>
      <c r="H61" s="9" t="s">
        <v>16</v>
      </c>
      <c r="I61" s="10">
        <v>12933</v>
      </c>
      <c r="J61" s="10">
        <v>15144</v>
      </c>
      <c r="K61" s="10">
        <v>15850</v>
      </c>
      <c r="L61" s="10">
        <v>15165</v>
      </c>
      <c r="M61" s="41">
        <f>SUM(Tabla119[[#This Row],[TRIMESTRE  I]:[TRIMESTRE IV]])</f>
        <v>59092</v>
      </c>
      <c r="N61" s="12" t="s">
        <v>17</v>
      </c>
      <c r="O61" s="42">
        <v>45322</v>
      </c>
      <c r="P61" s="86" t="s">
        <v>296</v>
      </c>
    </row>
    <row r="62" spans="1:16" ht="37.5" customHeight="1" x14ac:dyDescent="0.2">
      <c r="A62" s="3">
        <v>1703</v>
      </c>
      <c r="B62" s="4" t="s">
        <v>302</v>
      </c>
      <c r="C62" s="5">
        <v>530</v>
      </c>
      <c r="D62" s="6" t="str">
        <f>IF(C62&lt;=0,"",VLOOKUP(C62,[14]FF!A:D,2,0))</f>
        <v>PARTICIPACIONES Ramo 28</v>
      </c>
      <c r="E62" s="5" t="s">
        <v>305</v>
      </c>
      <c r="F62" s="7" t="s">
        <v>15</v>
      </c>
      <c r="G62" s="8">
        <v>212001</v>
      </c>
      <c r="H62" s="9" t="s">
        <v>50</v>
      </c>
      <c r="I62" s="10">
        <v>5100</v>
      </c>
      <c r="J62" s="10">
        <v>4250</v>
      </c>
      <c r="K62" s="10">
        <v>5100</v>
      </c>
      <c r="L62" s="10">
        <v>3825</v>
      </c>
      <c r="M62" s="41">
        <f>SUM(Tabla119[[#This Row],[TRIMESTRE  I]:[TRIMESTRE IV]])</f>
        <v>18275</v>
      </c>
      <c r="N62" s="12" t="s">
        <v>19</v>
      </c>
      <c r="O62" s="42">
        <v>45322</v>
      </c>
      <c r="P62" s="86" t="s">
        <v>297</v>
      </c>
    </row>
    <row r="63" spans="1:16" ht="37.5" customHeight="1" x14ac:dyDescent="0.2">
      <c r="A63" s="3">
        <v>1703</v>
      </c>
      <c r="B63" s="4" t="s">
        <v>302</v>
      </c>
      <c r="C63" s="5">
        <v>530</v>
      </c>
      <c r="D63" s="6" t="str">
        <f>IF(C63&lt;=0,"",VLOOKUP(C63,[14]FF!A:D,2,0))</f>
        <v>PARTICIPACIONES Ramo 28</v>
      </c>
      <c r="E63" s="5" t="s">
        <v>305</v>
      </c>
      <c r="F63" s="7" t="s">
        <v>15</v>
      </c>
      <c r="G63" s="8">
        <v>216001</v>
      </c>
      <c r="H63" s="9" t="s">
        <v>18</v>
      </c>
      <c r="I63" s="10">
        <v>11454</v>
      </c>
      <c r="J63" s="10">
        <v>11165</v>
      </c>
      <c r="K63" s="10">
        <v>7057</v>
      </c>
      <c r="L63" s="10">
        <v>7500</v>
      </c>
      <c r="M63" s="41">
        <f>SUM(Tabla119[[#This Row],[TRIMESTRE  I]:[TRIMESTRE IV]])</f>
        <v>37176</v>
      </c>
      <c r="N63" s="12" t="s">
        <v>17</v>
      </c>
      <c r="O63" s="42">
        <v>45322</v>
      </c>
      <c r="P63" s="86" t="s">
        <v>296</v>
      </c>
    </row>
    <row r="64" spans="1:16" ht="37.5" customHeight="1" x14ac:dyDescent="0.2">
      <c r="A64" s="3">
        <v>1703</v>
      </c>
      <c r="B64" s="4" t="s">
        <v>302</v>
      </c>
      <c r="C64" s="5">
        <v>530</v>
      </c>
      <c r="D64" s="6" t="str">
        <f>IF(C64&lt;=0,"",VLOOKUP(C64,[14]FF!A:D,2,0))</f>
        <v>PARTICIPACIONES Ramo 28</v>
      </c>
      <c r="E64" s="5" t="s">
        <v>305</v>
      </c>
      <c r="F64" s="7" t="s">
        <v>15</v>
      </c>
      <c r="G64" s="8">
        <v>261001</v>
      </c>
      <c r="H64" s="9" t="s">
        <v>46</v>
      </c>
      <c r="I64" s="10">
        <v>48750</v>
      </c>
      <c r="J64" s="10">
        <v>33750</v>
      </c>
      <c r="K64" s="10">
        <v>33750</v>
      </c>
      <c r="L64" s="10">
        <v>33750</v>
      </c>
      <c r="M64" s="41">
        <f>SUM(Tabla119[[#This Row],[TRIMESTRE  I]:[TRIMESTRE IV]])</f>
        <v>150000</v>
      </c>
      <c r="N64" s="12" t="s">
        <v>17</v>
      </c>
      <c r="O64" s="42">
        <v>45322</v>
      </c>
      <c r="P64" s="86" t="s">
        <v>296</v>
      </c>
    </row>
    <row r="65" spans="1:16" ht="37.5" customHeight="1" x14ac:dyDescent="0.2">
      <c r="A65" s="3">
        <v>1703</v>
      </c>
      <c r="B65" s="4" t="s">
        <v>302</v>
      </c>
      <c r="C65" s="5">
        <v>530</v>
      </c>
      <c r="D65" s="6" t="str">
        <f>IF(C65&lt;=0,"",VLOOKUP(C65,[14]FF!A:D,2,0))</f>
        <v>PARTICIPACIONES Ramo 28</v>
      </c>
      <c r="E65" s="5" t="s">
        <v>305</v>
      </c>
      <c r="F65" s="7" t="s">
        <v>22</v>
      </c>
      <c r="G65" s="8">
        <v>311001</v>
      </c>
      <c r="H65" s="9" t="s">
        <v>52</v>
      </c>
      <c r="I65" s="10">
        <v>34883</v>
      </c>
      <c r="J65" s="10">
        <v>29200</v>
      </c>
      <c r="K65" s="10">
        <v>86172</v>
      </c>
      <c r="L65" s="10">
        <v>55072</v>
      </c>
      <c r="M65" s="41">
        <f>SUM(Tabla119[[#This Row],[TRIMESTRE  I]:[TRIMESTRE IV]])</f>
        <v>205327</v>
      </c>
      <c r="N65" s="12" t="s">
        <v>17</v>
      </c>
      <c r="O65" s="42">
        <v>45322</v>
      </c>
      <c r="P65" s="86" t="s">
        <v>296</v>
      </c>
    </row>
    <row r="66" spans="1:16" ht="37.5" customHeight="1" x14ac:dyDescent="0.2">
      <c r="A66" s="3">
        <v>1703</v>
      </c>
      <c r="B66" s="4" t="s">
        <v>302</v>
      </c>
      <c r="C66" s="5">
        <v>530</v>
      </c>
      <c r="D66" s="6" t="str">
        <f>IF(C66&lt;=0,"",VLOOKUP(C66,[14]FF!A:D,2,0))</f>
        <v>PARTICIPACIONES Ramo 28</v>
      </c>
      <c r="E66" s="5" t="s">
        <v>305</v>
      </c>
      <c r="F66" s="7" t="s">
        <v>22</v>
      </c>
      <c r="G66" s="8">
        <v>314001</v>
      </c>
      <c r="H66" s="9" t="s">
        <v>54</v>
      </c>
      <c r="I66" s="10">
        <v>37773</v>
      </c>
      <c r="J66" s="10">
        <v>47855</v>
      </c>
      <c r="K66" s="10">
        <v>42156</v>
      </c>
      <c r="L66" s="10">
        <v>34440</v>
      </c>
      <c r="M66" s="41">
        <f>SUM(Tabla119[[#This Row],[TRIMESTRE  I]:[TRIMESTRE IV]])</f>
        <v>162224</v>
      </c>
      <c r="N66" s="12" t="s">
        <v>17</v>
      </c>
      <c r="O66" s="42">
        <v>45322</v>
      </c>
      <c r="P66" s="86" t="s">
        <v>296</v>
      </c>
    </row>
    <row r="67" spans="1:16" ht="37.5" customHeight="1" x14ac:dyDescent="0.2">
      <c r="A67" s="3">
        <v>1703</v>
      </c>
      <c r="B67" s="4" t="s">
        <v>302</v>
      </c>
      <c r="C67" s="5">
        <v>530</v>
      </c>
      <c r="D67" s="6" t="str">
        <f>IF(C67&lt;=0,"",VLOOKUP(C67,[14]FF!A:D,2,0))</f>
        <v>PARTICIPACIONES Ramo 28</v>
      </c>
      <c r="E67" s="5" t="s">
        <v>305</v>
      </c>
      <c r="F67" s="7" t="s">
        <v>22</v>
      </c>
      <c r="G67" s="8">
        <v>318001</v>
      </c>
      <c r="H67" s="9" t="s">
        <v>373</v>
      </c>
      <c r="I67" s="10">
        <v>13984</v>
      </c>
      <c r="J67" s="10">
        <v>10816</v>
      </c>
      <c r="K67" s="10">
        <v>7416</v>
      </c>
      <c r="L67" s="10">
        <v>13683</v>
      </c>
      <c r="M67" s="41">
        <f>SUM(Tabla119[[#This Row],[TRIMESTRE  I]:[TRIMESTRE IV]])</f>
        <v>45899</v>
      </c>
      <c r="N67" s="12" t="s">
        <v>19</v>
      </c>
      <c r="O67" s="42">
        <v>45322</v>
      </c>
      <c r="P67" s="86" t="s">
        <v>297</v>
      </c>
    </row>
    <row r="68" spans="1:16" ht="37.5" customHeight="1" x14ac:dyDescent="0.2">
      <c r="A68" s="3">
        <v>1703</v>
      </c>
      <c r="B68" s="4" t="s">
        <v>302</v>
      </c>
      <c r="C68" s="5">
        <v>530</v>
      </c>
      <c r="D68" s="6" t="str">
        <f>IF(C68&lt;=0,"",VLOOKUP(C68,[14]FF!A:D,2,0))</f>
        <v>PARTICIPACIONES Ramo 28</v>
      </c>
      <c r="E68" s="5" t="s">
        <v>305</v>
      </c>
      <c r="F68" s="7" t="s">
        <v>22</v>
      </c>
      <c r="G68" s="8">
        <v>323001</v>
      </c>
      <c r="H68" s="9" t="s">
        <v>374</v>
      </c>
      <c r="I68" s="10">
        <v>81000</v>
      </c>
      <c r="J68" s="10">
        <v>81000</v>
      </c>
      <c r="K68" s="10">
        <v>81000</v>
      </c>
      <c r="L68" s="10">
        <v>81000</v>
      </c>
      <c r="M68" s="41">
        <f>SUM(Tabla119[[#This Row],[TRIMESTRE  I]:[TRIMESTRE IV]])</f>
        <v>324000</v>
      </c>
      <c r="N68" s="12" t="s">
        <v>30</v>
      </c>
      <c r="O68" s="42">
        <v>45322</v>
      </c>
      <c r="P68" s="86" t="s">
        <v>297</v>
      </c>
    </row>
    <row r="69" spans="1:16" ht="37.5" customHeight="1" x14ac:dyDescent="0.2">
      <c r="A69" s="3">
        <v>1703</v>
      </c>
      <c r="B69" s="4" t="s">
        <v>302</v>
      </c>
      <c r="C69" s="5">
        <v>530</v>
      </c>
      <c r="D69" s="6" t="str">
        <f>IF(C69&lt;=0,"",VLOOKUP(C69,[14]FF!A:D,2,0))</f>
        <v>PARTICIPACIONES Ramo 28</v>
      </c>
      <c r="E69" s="5" t="s">
        <v>305</v>
      </c>
      <c r="F69" s="7" t="s">
        <v>22</v>
      </c>
      <c r="G69" s="8">
        <v>355001</v>
      </c>
      <c r="H69" s="9" t="s">
        <v>56</v>
      </c>
      <c r="I69" s="10">
        <v>30400</v>
      </c>
      <c r="J69" s="10">
        <v>37050</v>
      </c>
      <c r="K69" s="10">
        <v>36550</v>
      </c>
      <c r="L69" s="10">
        <v>34050</v>
      </c>
      <c r="M69" s="41">
        <f>SUM(Tabla119[[#This Row],[TRIMESTRE  I]:[TRIMESTRE IV]])</f>
        <v>138050</v>
      </c>
      <c r="N69" s="12" t="s">
        <v>19</v>
      </c>
      <c r="O69" s="42">
        <v>45322</v>
      </c>
      <c r="P69" s="86" t="s">
        <v>297</v>
      </c>
    </row>
    <row r="70" spans="1:16" ht="37.5" customHeight="1" x14ac:dyDescent="0.2">
      <c r="A70" s="3">
        <v>1703</v>
      </c>
      <c r="B70" s="4" t="s">
        <v>302</v>
      </c>
      <c r="C70" s="5">
        <v>530</v>
      </c>
      <c r="D70" s="6" t="str">
        <f>IF(C70&lt;=0,"",VLOOKUP(C70,[14]FF!A:D,2,0))</f>
        <v>PARTICIPACIONES Ramo 28</v>
      </c>
      <c r="E70" s="5" t="s">
        <v>305</v>
      </c>
      <c r="F70" s="7" t="s">
        <v>22</v>
      </c>
      <c r="G70" s="8">
        <v>371001</v>
      </c>
      <c r="H70" s="9" t="s">
        <v>31</v>
      </c>
      <c r="I70" s="10">
        <v>0</v>
      </c>
      <c r="J70" s="10">
        <v>0</v>
      </c>
      <c r="K70" s="10">
        <v>0</v>
      </c>
      <c r="L70" s="10">
        <v>0</v>
      </c>
      <c r="M70" s="41">
        <f>SUM(Tabla119[[#This Row],[TRIMESTRE  I]:[TRIMESTRE IV]])</f>
        <v>0</v>
      </c>
      <c r="N70" s="12" t="s">
        <v>17</v>
      </c>
      <c r="O70" s="42">
        <v>45322</v>
      </c>
      <c r="P70" s="86" t="s">
        <v>301</v>
      </c>
    </row>
    <row r="71" spans="1:16" ht="37.5" customHeight="1" x14ac:dyDescent="0.2">
      <c r="A71" s="3">
        <v>1703</v>
      </c>
      <c r="B71" s="4" t="s">
        <v>302</v>
      </c>
      <c r="C71" s="5">
        <v>530</v>
      </c>
      <c r="D71" s="6" t="str">
        <f>IF(C71&lt;=0,"",VLOOKUP(C71,[14]FF!A:D,2,0))</f>
        <v>PARTICIPACIONES Ramo 28</v>
      </c>
      <c r="E71" s="5" t="s">
        <v>305</v>
      </c>
      <c r="F71" s="7" t="s">
        <v>22</v>
      </c>
      <c r="G71" s="8">
        <v>375001</v>
      </c>
      <c r="H71" s="9" t="s">
        <v>48</v>
      </c>
      <c r="I71" s="10">
        <v>11800</v>
      </c>
      <c r="J71" s="10">
        <v>12000</v>
      </c>
      <c r="K71" s="10">
        <v>12000</v>
      </c>
      <c r="L71" s="10">
        <v>12400</v>
      </c>
      <c r="M71" s="41">
        <f>SUM(Tabla119[[#This Row],[TRIMESTRE  I]:[TRIMESTRE IV]])</f>
        <v>48200</v>
      </c>
      <c r="N71" s="12" t="s">
        <v>19</v>
      </c>
      <c r="O71" s="42">
        <v>45322</v>
      </c>
      <c r="P71" s="86" t="s">
        <v>297</v>
      </c>
    </row>
    <row r="72" spans="1:16" ht="37.5" customHeight="1" x14ac:dyDescent="0.2">
      <c r="A72" s="3">
        <v>1703</v>
      </c>
      <c r="B72" s="4" t="s">
        <v>302</v>
      </c>
      <c r="C72" s="5">
        <v>530</v>
      </c>
      <c r="D72" s="6" t="str">
        <f>IF(C72&lt;=0,"",VLOOKUP(C72,[14]FF!A:D,2,0))</f>
        <v>PARTICIPACIONES Ramo 28</v>
      </c>
      <c r="E72" s="5" t="s">
        <v>306</v>
      </c>
      <c r="F72" s="7" t="s">
        <v>15</v>
      </c>
      <c r="G72" s="8">
        <v>211001</v>
      </c>
      <c r="H72" s="9" t="s">
        <v>16</v>
      </c>
      <c r="I72" s="10">
        <v>10750</v>
      </c>
      <c r="J72" s="10">
        <v>10200</v>
      </c>
      <c r="K72" s="10">
        <v>10200</v>
      </c>
      <c r="L72" s="10">
        <v>7650</v>
      </c>
      <c r="M72" s="41">
        <f>SUM(Tabla119[[#This Row],[TRIMESTRE  I]:[TRIMESTRE IV]])</f>
        <v>38800</v>
      </c>
      <c r="N72" s="12" t="s">
        <v>17</v>
      </c>
      <c r="O72" s="42">
        <v>45322</v>
      </c>
      <c r="P72" s="86" t="s">
        <v>296</v>
      </c>
    </row>
    <row r="73" spans="1:16" ht="37.5" customHeight="1" x14ac:dyDescent="0.2">
      <c r="A73" s="3">
        <v>1703</v>
      </c>
      <c r="B73" s="4" t="s">
        <v>302</v>
      </c>
      <c r="C73" s="5">
        <v>530</v>
      </c>
      <c r="D73" s="6" t="str">
        <f>IF(C73&lt;=0,"",VLOOKUP(C73,[14]FF!A:D,2,0))</f>
        <v>PARTICIPACIONES Ramo 28</v>
      </c>
      <c r="E73" s="5" t="s">
        <v>306</v>
      </c>
      <c r="F73" s="7" t="s">
        <v>15</v>
      </c>
      <c r="G73" s="8">
        <v>212001</v>
      </c>
      <c r="H73" s="9" t="s">
        <v>50</v>
      </c>
      <c r="I73" s="10">
        <v>6800</v>
      </c>
      <c r="J73" s="10">
        <v>4250</v>
      </c>
      <c r="K73" s="10">
        <v>5100</v>
      </c>
      <c r="L73" s="10">
        <v>3825</v>
      </c>
      <c r="M73" s="41">
        <f>SUM(Tabla119[[#This Row],[TRIMESTRE  I]:[TRIMESTRE IV]])</f>
        <v>19975</v>
      </c>
      <c r="N73" s="12" t="s">
        <v>19</v>
      </c>
      <c r="O73" s="42">
        <v>45322</v>
      </c>
      <c r="P73" s="86" t="s">
        <v>297</v>
      </c>
    </row>
    <row r="74" spans="1:16" ht="37.5" customHeight="1" x14ac:dyDescent="0.2">
      <c r="A74" s="3">
        <v>1703</v>
      </c>
      <c r="B74" s="4" t="s">
        <v>302</v>
      </c>
      <c r="C74" s="5">
        <v>530</v>
      </c>
      <c r="D74" s="6" t="str">
        <f>IF(C74&lt;=0,"",VLOOKUP(C74,[14]FF!A:D,2,0))</f>
        <v>PARTICIPACIONES Ramo 28</v>
      </c>
      <c r="E74" s="5" t="s">
        <v>306</v>
      </c>
      <c r="F74" s="7" t="s">
        <v>15</v>
      </c>
      <c r="G74" s="8">
        <v>216001</v>
      </c>
      <c r="H74" s="9" t="s">
        <v>18</v>
      </c>
      <c r="I74" s="10">
        <v>7859</v>
      </c>
      <c r="J74" s="10">
        <v>5100</v>
      </c>
      <c r="K74" s="10">
        <v>5100</v>
      </c>
      <c r="L74" s="10">
        <v>5100</v>
      </c>
      <c r="M74" s="41">
        <f>SUM(Tabla119[[#This Row],[TRIMESTRE  I]:[TRIMESTRE IV]])</f>
        <v>23159</v>
      </c>
      <c r="N74" s="12" t="s">
        <v>17</v>
      </c>
      <c r="O74" s="42">
        <v>45322</v>
      </c>
      <c r="P74" s="86" t="s">
        <v>296</v>
      </c>
    </row>
    <row r="75" spans="1:16" ht="37.5" customHeight="1" x14ac:dyDescent="0.2">
      <c r="A75" s="3">
        <v>1703</v>
      </c>
      <c r="B75" s="4" t="s">
        <v>302</v>
      </c>
      <c r="C75" s="5">
        <v>530</v>
      </c>
      <c r="D75" s="6" t="str">
        <f>IF(C75&lt;=0,"",VLOOKUP(C75,[14]FF!A:D,2,0))</f>
        <v>PARTICIPACIONES Ramo 28</v>
      </c>
      <c r="E75" s="5" t="s">
        <v>306</v>
      </c>
      <c r="F75" s="7" t="s">
        <v>15</v>
      </c>
      <c r="G75" s="8">
        <v>261001</v>
      </c>
      <c r="H75" s="9" t="s">
        <v>46</v>
      </c>
      <c r="I75" s="10">
        <v>20250</v>
      </c>
      <c r="J75" s="10">
        <v>20250</v>
      </c>
      <c r="K75" s="10">
        <v>20250</v>
      </c>
      <c r="L75" s="10">
        <v>20250</v>
      </c>
      <c r="M75" s="41">
        <f>SUM(Tabla119[[#This Row],[TRIMESTRE  I]:[TRIMESTRE IV]])</f>
        <v>81000</v>
      </c>
      <c r="N75" s="12" t="s">
        <v>17</v>
      </c>
      <c r="O75" s="42">
        <v>45322</v>
      </c>
      <c r="P75" s="86" t="s">
        <v>296</v>
      </c>
    </row>
    <row r="76" spans="1:16" ht="37.5" customHeight="1" x14ac:dyDescent="0.2">
      <c r="A76" s="3">
        <v>1703</v>
      </c>
      <c r="B76" s="4" t="s">
        <v>302</v>
      </c>
      <c r="C76" s="5">
        <v>530</v>
      </c>
      <c r="D76" s="6" t="str">
        <f>IF(C76&lt;=0,"",VLOOKUP(C76,[14]FF!A:D,2,0))</f>
        <v>PARTICIPACIONES Ramo 28</v>
      </c>
      <c r="E76" s="5" t="s">
        <v>306</v>
      </c>
      <c r="F76" s="7" t="s">
        <v>15</v>
      </c>
      <c r="G76" s="8">
        <v>296001</v>
      </c>
      <c r="H76" s="9" t="s">
        <v>51</v>
      </c>
      <c r="I76" s="10">
        <v>2977</v>
      </c>
      <c r="J76" s="10">
        <v>1277</v>
      </c>
      <c r="K76" s="10">
        <v>0</v>
      </c>
      <c r="L76" s="10">
        <v>2214</v>
      </c>
      <c r="M76" s="41">
        <f>SUM(Tabla119[[#This Row],[TRIMESTRE  I]:[TRIMESTRE IV]])</f>
        <v>6468</v>
      </c>
      <c r="N76" s="12" t="s">
        <v>19</v>
      </c>
      <c r="O76" s="42">
        <v>45322</v>
      </c>
      <c r="P76" s="86" t="s">
        <v>297</v>
      </c>
    </row>
    <row r="77" spans="1:16" ht="37.5" customHeight="1" x14ac:dyDescent="0.2">
      <c r="A77" s="3">
        <v>1703</v>
      </c>
      <c r="B77" s="4" t="s">
        <v>302</v>
      </c>
      <c r="C77" s="5">
        <v>530</v>
      </c>
      <c r="D77" s="6" t="str">
        <f>IF(C77&lt;=0,"",VLOOKUP(C77,[14]FF!A:D,2,0))</f>
        <v>PARTICIPACIONES Ramo 28</v>
      </c>
      <c r="E77" s="5" t="s">
        <v>306</v>
      </c>
      <c r="F77" s="7" t="s">
        <v>22</v>
      </c>
      <c r="G77" s="8">
        <v>311001</v>
      </c>
      <c r="H77" s="9" t="s">
        <v>52</v>
      </c>
      <c r="I77" s="10">
        <v>18194</v>
      </c>
      <c r="J77" s="10">
        <v>12211</v>
      </c>
      <c r="K77" s="10">
        <v>13243</v>
      </c>
      <c r="L77" s="10">
        <v>24789</v>
      </c>
      <c r="M77" s="41">
        <f>SUM(Tabla119[[#This Row],[TRIMESTRE  I]:[TRIMESTRE IV]])</f>
        <v>68437</v>
      </c>
      <c r="N77" s="12" t="s">
        <v>17</v>
      </c>
      <c r="O77" s="42">
        <v>45322</v>
      </c>
      <c r="P77" s="86" t="s">
        <v>296</v>
      </c>
    </row>
    <row r="78" spans="1:16" ht="37.5" customHeight="1" x14ac:dyDescent="0.2">
      <c r="A78" s="3">
        <v>1703</v>
      </c>
      <c r="B78" s="4" t="s">
        <v>302</v>
      </c>
      <c r="C78" s="5">
        <v>530</v>
      </c>
      <c r="D78" s="6" t="str">
        <f>IF(C78&lt;=0,"",VLOOKUP(C78,[14]FF!A:D,2,0))</f>
        <v>PARTICIPACIONES Ramo 28</v>
      </c>
      <c r="E78" s="5" t="s">
        <v>306</v>
      </c>
      <c r="F78" s="7" t="s">
        <v>22</v>
      </c>
      <c r="G78" s="8">
        <v>314001</v>
      </c>
      <c r="H78" s="9" t="s">
        <v>54</v>
      </c>
      <c r="I78" s="10">
        <v>16553</v>
      </c>
      <c r="J78" s="10">
        <v>16553</v>
      </c>
      <c r="K78" s="10">
        <v>49659</v>
      </c>
      <c r="L78" s="10">
        <v>33106</v>
      </c>
      <c r="M78" s="41">
        <f>SUM(Tabla119[[#This Row],[TRIMESTRE  I]:[TRIMESTRE IV]])</f>
        <v>115871</v>
      </c>
      <c r="N78" s="12" t="s">
        <v>17</v>
      </c>
      <c r="O78" s="42">
        <v>45322</v>
      </c>
      <c r="P78" s="86" t="s">
        <v>296</v>
      </c>
    </row>
    <row r="79" spans="1:16" ht="37.5" customHeight="1" x14ac:dyDescent="0.2">
      <c r="A79" s="3">
        <v>1703</v>
      </c>
      <c r="B79" s="4" t="s">
        <v>302</v>
      </c>
      <c r="C79" s="5">
        <v>530</v>
      </c>
      <c r="D79" s="6" t="str">
        <f>IF(C79&lt;=0,"",VLOOKUP(C79,[14]FF!A:D,2,0))</f>
        <v>PARTICIPACIONES Ramo 28</v>
      </c>
      <c r="E79" s="5" t="s">
        <v>306</v>
      </c>
      <c r="F79" s="7" t="s">
        <v>22</v>
      </c>
      <c r="G79" s="8">
        <v>322001</v>
      </c>
      <c r="H79" s="9" t="s">
        <v>23</v>
      </c>
      <c r="I79" s="10">
        <v>369295</v>
      </c>
      <c r="J79" s="10">
        <v>389295</v>
      </c>
      <c r="K79" s="10">
        <v>389295</v>
      </c>
      <c r="L79" s="10">
        <v>389295</v>
      </c>
      <c r="M79" s="41">
        <f>SUM(Tabla119[[#This Row],[TRIMESTRE  I]:[TRIMESTRE IV]])</f>
        <v>1537180</v>
      </c>
      <c r="N79" s="12" t="s">
        <v>19</v>
      </c>
      <c r="O79" s="42">
        <v>45322</v>
      </c>
      <c r="P79" s="86" t="s">
        <v>297</v>
      </c>
    </row>
    <row r="80" spans="1:16" ht="37.5" customHeight="1" x14ac:dyDescent="0.2">
      <c r="A80" s="3">
        <v>1703</v>
      </c>
      <c r="B80" s="4" t="s">
        <v>302</v>
      </c>
      <c r="C80" s="5">
        <v>530</v>
      </c>
      <c r="D80" s="6" t="str">
        <f>IF(C80&lt;=0,"",VLOOKUP(C80,[14]FF!A:D,2,0))</f>
        <v>PARTICIPACIONES Ramo 28</v>
      </c>
      <c r="E80" s="5" t="s">
        <v>306</v>
      </c>
      <c r="F80" s="7" t="s">
        <v>22</v>
      </c>
      <c r="G80" s="8">
        <v>323001</v>
      </c>
      <c r="H80" s="9" t="s">
        <v>374</v>
      </c>
      <c r="I80" s="10">
        <v>0</v>
      </c>
      <c r="J80" s="10">
        <v>0</v>
      </c>
      <c r="K80" s="10">
        <v>0</v>
      </c>
      <c r="L80" s="10">
        <v>0</v>
      </c>
      <c r="M80" s="41">
        <f>SUM(Tabla119[[#This Row],[TRIMESTRE  I]:[TRIMESTRE IV]])</f>
        <v>0</v>
      </c>
      <c r="N80" s="12" t="s">
        <v>30</v>
      </c>
      <c r="O80" s="42">
        <v>45322</v>
      </c>
      <c r="P80" s="86" t="s">
        <v>297</v>
      </c>
    </row>
    <row r="81" spans="1:16" ht="37.5" customHeight="1" x14ac:dyDescent="0.2">
      <c r="A81" s="3">
        <v>1705326</v>
      </c>
      <c r="B81" s="4" t="s">
        <v>307</v>
      </c>
      <c r="C81" s="5">
        <v>530</v>
      </c>
      <c r="D81" s="6" t="str">
        <f>IF(C81&lt;=0,"",VLOOKUP(C81,[14]FF!A:D,2,0))</f>
        <v>PARTICIPACIONES Ramo 28</v>
      </c>
      <c r="E81" s="5" t="s">
        <v>308</v>
      </c>
      <c r="F81" s="7" t="s">
        <v>15</v>
      </c>
      <c r="G81" s="8">
        <v>211001</v>
      </c>
      <c r="H81" s="9" t="s">
        <v>16</v>
      </c>
      <c r="I81" s="10">
        <v>8728</v>
      </c>
      <c r="J81" s="10">
        <v>18931</v>
      </c>
      <c r="K81" s="10">
        <v>6194</v>
      </c>
      <c r="L81" s="10">
        <v>6197</v>
      </c>
      <c r="M81" s="41">
        <f>SUM(Tabla119[[#This Row],[TRIMESTRE  I]:[TRIMESTRE IV]])</f>
        <v>40050</v>
      </c>
      <c r="N81" s="12" t="s">
        <v>17</v>
      </c>
      <c r="O81" s="42">
        <v>45322</v>
      </c>
      <c r="P81" s="86" t="s">
        <v>296</v>
      </c>
    </row>
    <row r="82" spans="1:16" ht="37.5" customHeight="1" x14ac:dyDescent="0.2">
      <c r="A82" s="3">
        <v>1705326</v>
      </c>
      <c r="B82" s="4" t="s">
        <v>307</v>
      </c>
      <c r="C82" s="5">
        <v>530</v>
      </c>
      <c r="D82" s="6" t="str">
        <f>IF(C82&lt;=0,"",VLOOKUP(C82,[14]FF!A:D,2,0))</f>
        <v>PARTICIPACIONES Ramo 28</v>
      </c>
      <c r="E82" s="5" t="s">
        <v>308</v>
      </c>
      <c r="F82" s="7" t="s">
        <v>15</v>
      </c>
      <c r="G82" s="8">
        <v>212001</v>
      </c>
      <c r="H82" s="9" t="s">
        <v>50</v>
      </c>
      <c r="I82" s="10">
        <v>0</v>
      </c>
      <c r="J82" s="10">
        <v>0</v>
      </c>
      <c r="K82" s="10">
        <v>0</v>
      </c>
      <c r="L82" s="10">
        <v>0</v>
      </c>
      <c r="M82" s="41">
        <f>SUM(Tabla119[[#This Row],[TRIMESTRE  I]:[TRIMESTRE IV]])</f>
        <v>0</v>
      </c>
      <c r="N82" s="12" t="s">
        <v>19</v>
      </c>
      <c r="O82" s="42">
        <v>45322</v>
      </c>
      <c r="P82" s="86" t="s">
        <v>297</v>
      </c>
    </row>
    <row r="83" spans="1:16" ht="37.5" customHeight="1" x14ac:dyDescent="0.2">
      <c r="A83" s="3">
        <v>1705326</v>
      </c>
      <c r="B83" s="4" t="s">
        <v>307</v>
      </c>
      <c r="C83" s="5">
        <v>530</v>
      </c>
      <c r="D83" s="6" t="str">
        <f>IF(C83&lt;=0,"",VLOOKUP(C83,[14]FF!A:D,2,0))</f>
        <v>PARTICIPACIONES Ramo 28</v>
      </c>
      <c r="E83" s="5" t="s">
        <v>308</v>
      </c>
      <c r="F83" s="7" t="s">
        <v>15</v>
      </c>
      <c r="G83" s="8">
        <v>216001</v>
      </c>
      <c r="H83" s="9" t="s">
        <v>18</v>
      </c>
      <c r="I83" s="10">
        <v>5100</v>
      </c>
      <c r="J83" s="10">
        <v>5100</v>
      </c>
      <c r="K83" s="10">
        <v>5100</v>
      </c>
      <c r="L83" s="10">
        <v>5100</v>
      </c>
      <c r="M83" s="41">
        <f>SUM(Tabla119[[#This Row],[TRIMESTRE  I]:[TRIMESTRE IV]])</f>
        <v>20400</v>
      </c>
      <c r="N83" s="12" t="s">
        <v>17</v>
      </c>
      <c r="O83" s="42">
        <v>45322</v>
      </c>
      <c r="P83" s="86" t="s">
        <v>296</v>
      </c>
    </row>
    <row r="84" spans="1:16" ht="37.5" customHeight="1" x14ac:dyDescent="0.2">
      <c r="A84" s="3">
        <v>1705326</v>
      </c>
      <c r="B84" s="4" t="s">
        <v>307</v>
      </c>
      <c r="C84" s="5">
        <v>530</v>
      </c>
      <c r="D84" s="6" t="str">
        <f>IF(C84&lt;=0,"",VLOOKUP(C84,[14]FF!A:D,2,0))</f>
        <v>PARTICIPACIONES Ramo 28</v>
      </c>
      <c r="E84" s="5" t="s">
        <v>308</v>
      </c>
      <c r="F84" s="7" t="s">
        <v>15</v>
      </c>
      <c r="G84" s="8">
        <v>261001</v>
      </c>
      <c r="H84" s="9" t="s">
        <v>46</v>
      </c>
      <c r="I84" s="10">
        <v>57350</v>
      </c>
      <c r="J84" s="10">
        <v>59400</v>
      </c>
      <c r="K84" s="10">
        <v>56700</v>
      </c>
      <c r="L84" s="10">
        <v>58500</v>
      </c>
      <c r="M84" s="41">
        <f>SUM(Tabla119[[#This Row],[TRIMESTRE  I]:[TRIMESTRE IV]])</f>
        <v>231950</v>
      </c>
      <c r="N84" s="12" t="s">
        <v>17</v>
      </c>
      <c r="O84" s="42">
        <v>45322</v>
      </c>
      <c r="P84" s="86" t="s">
        <v>296</v>
      </c>
    </row>
    <row r="85" spans="1:16" ht="37.5" customHeight="1" x14ac:dyDescent="0.2">
      <c r="A85" s="3">
        <v>1705326</v>
      </c>
      <c r="B85" s="4" t="s">
        <v>307</v>
      </c>
      <c r="C85" s="5">
        <v>530</v>
      </c>
      <c r="D85" s="6" t="str">
        <f>IF(C85&lt;=0,"",VLOOKUP(C85,[14]FF!A:D,2,0))</f>
        <v>PARTICIPACIONES Ramo 28</v>
      </c>
      <c r="E85" s="5" t="s">
        <v>308</v>
      </c>
      <c r="F85" s="7" t="s">
        <v>15</v>
      </c>
      <c r="G85" s="8">
        <v>261002</v>
      </c>
      <c r="H85" s="9" t="s">
        <v>111</v>
      </c>
      <c r="I85" s="10">
        <v>0</v>
      </c>
      <c r="J85" s="10">
        <v>0</v>
      </c>
      <c r="K85" s="10">
        <v>0</v>
      </c>
      <c r="L85" s="10">
        <v>0</v>
      </c>
      <c r="M85" s="41">
        <f>SUM(Tabla119[[#This Row],[TRIMESTRE  I]:[TRIMESTRE IV]])</f>
        <v>0</v>
      </c>
      <c r="N85" s="12" t="s">
        <v>19</v>
      </c>
      <c r="O85" s="42">
        <v>45322</v>
      </c>
      <c r="P85" s="86" t="s">
        <v>297</v>
      </c>
    </row>
    <row r="86" spans="1:16" ht="37.5" customHeight="1" x14ac:dyDescent="0.2">
      <c r="A86" s="3">
        <v>1705326</v>
      </c>
      <c r="B86" s="4" t="s">
        <v>307</v>
      </c>
      <c r="C86" s="5">
        <v>530</v>
      </c>
      <c r="D86" s="6" t="str">
        <f>IF(C86&lt;=0,"",VLOOKUP(C86,[14]FF!A:D,2,0))</f>
        <v>PARTICIPACIONES Ramo 28</v>
      </c>
      <c r="E86" s="5" t="s">
        <v>308</v>
      </c>
      <c r="F86" s="7" t="s">
        <v>15</v>
      </c>
      <c r="G86" s="8">
        <v>296001</v>
      </c>
      <c r="H86" s="9" t="s">
        <v>51</v>
      </c>
      <c r="I86" s="10">
        <v>3780</v>
      </c>
      <c r="J86" s="10">
        <v>5670</v>
      </c>
      <c r="K86" s="10">
        <v>5673</v>
      </c>
      <c r="L86" s="10">
        <v>5670</v>
      </c>
      <c r="M86" s="41">
        <f>SUM(Tabla119[[#This Row],[TRIMESTRE  I]:[TRIMESTRE IV]])</f>
        <v>20793</v>
      </c>
      <c r="N86" s="12" t="s">
        <v>19</v>
      </c>
      <c r="O86" s="42">
        <v>45322</v>
      </c>
      <c r="P86" s="86" t="s">
        <v>297</v>
      </c>
    </row>
    <row r="87" spans="1:16" ht="37.5" customHeight="1" x14ac:dyDescent="0.2">
      <c r="A87" s="3">
        <v>1705326</v>
      </c>
      <c r="B87" s="4" t="s">
        <v>307</v>
      </c>
      <c r="C87" s="5">
        <v>530</v>
      </c>
      <c r="D87" s="6" t="str">
        <f>IF(C87&lt;=0,"",VLOOKUP(C87,[14]FF!A:D,2,0))</f>
        <v>PARTICIPACIONES Ramo 28</v>
      </c>
      <c r="E87" s="5" t="s">
        <v>308</v>
      </c>
      <c r="F87" s="7" t="s">
        <v>22</v>
      </c>
      <c r="G87" s="8">
        <v>311001</v>
      </c>
      <c r="H87" s="9" t="s">
        <v>52</v>
      </c>
      <c r="I87" s="10">
        <v>1938</v>
      </c>
      <c r="J87" s="10">
        <v>3872</v>
      </c>
      <c r="K87" s="10">
        <v>1942</v>
      </c>
      <c r="L87" s="10">
        <v>3872</v>
      </c>
      <c r="M87" s="41">
        <f>SUM(Tabla119[[#This Row],[TRIMESTRE  I]:[TRIMESTRE IV]])</f>
        <v>11624</v>
      </c>
      <c r="N87" s="12" t="s">
        <v>17</v>
      </c>
      <c r="O87" s="42">
        <v>45322</v>
      </c>
      <c r="P87" s="86" t="s">
        <v>296</v>
      </c>
    </row>
    <row r="88" spans="1:16" ht="37.5" customHeight="1" x14ac:dyDescent="0.2">
      <c r="A88" s="3">
        <v>1705326</v>
      </c>
      <c r="B88" s="4" t="s">
        <v>307</v>
      </c>
      <c r="C88" s="5">
        <v>530</v>
      </c>
      <c r="D88" s="6" t="str">
        <f>IF(C88&lt;=0,"",VLOOKUP(C88,[14]FF!A:D,2,0))</f>
        <v>PARTICIPACIONES Ramo 28</v>
      </c>
      <c r="E88" s="5" t="s">
        <v>308</v>
      </c>
      <c r="F88" s="7" t="s">
        <v>22</v>
      </c>
      <c r="G88" s="8">
        <v>314001</v>
      </c>
      <c r="H88" s="9" t="s">
        <v>54</v>
      </c>
      <c r="I88" s="10">
        <v>1900</v>
      </c>
      <c r="J88" s="10">
        <v>1893</v>
      </c>
      <c r="K88" s="10">
        <v>1900</v>
      </c>
      <c r="L88" s="10">
        <v>1893</v>
      </c>
      <c r="M88" s="41">
        <f>SUM(Tabla119[[#This Row],[TRIMESTRE  I]:[TRIMESTRE IV]])</f>
        <v>7586</v>
      </c>
      <c r="N88" s="12" t="s">
        <v>17</v>
      </c>
      <c r="O88" s="42">
        <v>45322</v>
      </c>
      <c r="P88" s="86" t="s">
        <v>296</v>
      </c>
    </row>
    <row r="89" spans="1:16" ht="37.5" customHeight="1" x14ac:dyDescent="0.2">
      <c r="A89" s="3">
        <v>1705326</v>
      </c>
      <c r="B89" s="4" t="s">
        <v>307</v>
      </c>
      <c r="C89" s="5">
        <v>530</v>
      </c>
      <c r="D89" s="6" t="str">
        <f>IF(C89&lt;=0,"",VLOOKUP(C89,[14]FF!A:D,2,0))</f>
        <v>PARTICIPACIONES Ramo 28</v>
      </c>
      <c r="E89" s="5" t="s">
        <v>308</v>
      </c>
      <c r="F89" s="7" t="s">
        <v>22</v>
      </c>
      <c r="G89" s="8">
        <v>323001</v>
      </c>
      <c r="H89" s="9" t="s">
        <v>374</v>
      </c>
      <c r="I89" s="10">
        <v>14616</v>
      </c>
      <c r="J89" s="10">
        <v>14616</v>
      </c>
      <c r="K89" s="10">
        <v>14616</v>
      </c>
      <c r="L89" s="10">
        <v>14616</v>
      </c>
      <c r="M89" s="41">
        <f>SUM(Tabla119[[#This Row],[TRIMESTRE  I]:[TRIMESTRE IV]])</f>
        <v>58464</v>
      </c>
      <c r="N89" s="12" t="s">
        <v>30</v>
      </c>
      <c r="O89" s="42">
        <v>45322</v>
      </c>
      <c r="P89" s="86" t="s">
        <v>297</v>
      </c>
    </row>
    <row r="90" spans="1:16" ht="37.5" customHeight="1" x14ac:dyDescent="0.2">
      <c r="A90" s="3">
        <v>1705326</v>
      </c>
      <c r="B90" s="4" t="s">
        <v>307</v>
      </c>
      <c r="C90" s="5">
        <v>530</v>
      </c>
      <c r="D90" s="6" t="str">
        <f>IF(C90&lt;=0,"",VLOOKUP(C90,[14]FF!A:D,2,0))</f>
        <v>PARTICIPACIONES Ramo 28</v>
      </c>
      <c r="E90" s="5" t="s">
        <v>308</v>
      </c>
      <c r="F90" s="7" t="s">
        <v>22</v>
      </c>
      <c r="G90" s="8">
        <v>345001</v>
      </c>
      <c r="H90" s="9" t="s">
        <v>47</v>
      </c>
      <c r="I90" s="10">
        <v>70000</v>
      </c>
      <c r="J90" s="10">
        <v>0</v>
      </c>
      <c r="K90" s="10">
        <v>0</v>
      </c>
      <c r="L90" s="10">
        <v>0</v>
      </c>
      <c r="M90" s="41">
        <f>SUM(Tabla119[[#This Row],[TRIMESTRE  I]:[TRIMESTRE IV]])</f>
        <v>70000</v>
      </c>
      <c r="N90" s="12" t="s">
        <v>30</v>
      </c>
      <c r="O90" s="42">
        <v>45322</v>
      </c>
      <c r="P90" s="86" t="s">
        <v>297</v>
      </c>
    </row>
    <row r="91" spans="1:16" ht="37.5" customHeight="1" x14ac:dyDescent="0.2">
      <c r="A91" s="3">
        <v>1705326</v>
      </c>
      <c r="B91" s="4" t="s">
        <v>307</v>
      </c>
      <c r="C91" s="5">
        <v>530</v>
      </c>
      <c r="D91" s="6" t="str">
        <f>IF(C91&lt;=0,"",VLOOKUP(C91,[14]FF!A:D,2,0))</f>
        <v>PARTICIPACIONES Ramo 28</v>
      </c>
      <c r="E91" s="5" t="s">
        <v>308</v>
      </c>
      <c r="F91" s="7" t="s">
        <v>22</v>
      </c>
      <c r="G91" s="8">
        <v>355001</v>
      </c>
      <c r="H91" s="9" t="s">
        <v>56</v>
      </c>
      <c r="I91" s="10">
        <v>11307</v>
      </c>
      <c r="J91" s="10">
        <v>11307</v>
      </c>
      <c r="K91" s="10">
        <v>11307</v>
      </c>
      <c r="L91" s="10">
        <v>11307</v>
      </c>
      <c r="M91" s="41">
        <f>SUM(Tabla119[[#This Row],[TRIMESTRE  I]:[TRIMESTRE IV]])</f>
        <v>45228</v>
      </c>
      <c r="N91" s="12" t="s">
        <v>19</v>
      </c>
      <c r="O91" s="42">
        <v>45322</v>
      </c>
      <c r="P91" s="86" t="s">
        <v>297</v>
      </c>
    </row>
    <row r="92" spans="1:16" ht="37.5" customHeight="1" x14ac:dyDescent="0.2">
      <c r="A92" s="3">
        <v>1705326</v>
      </c>
      <c r="B92" s="4" t="s">
        <v>307</v>
      </c>
      <c r="C92" s="5">
        <v>530</v>
      </c>
      <c r="D92" s="6" t="str">
        <f>IF(C92&lt;=0,"",VLOOKUP(C92,[14]FF!A:D,2,0))</f>
        <v>PARTICIPACIONES Ramo 28</v>
      </c>
      <c r="E92" s="5" t="s">
        <v>308</v>
      </c>
      <c r="F92" s="7" t="s">
        <v>22</v>
      </c>
      <c r="G92" s="8">
        <v>361002</v>
      </c>
      <c r="H92" s="9" t="s">
        <v>315</v>
      </c>
      <c r="I92" s="10">
        <v>0</v>
      </c>
      <c r="J92" s="10">
        <v>0</v>
      </c>
      <c r="K92" s="10">
        <v>0</v>
      </c>
      <c r="L92" s="10">
        <v>0</v>
      </c>
      <c r="M92" s="41">
        <f>SUM(Tabla119[[#This Row],[TRIMESTRE  I]:[TRIMESTRE IV]])</f>
        <v>0</v>
      </c>
      <c r="N92" s="12" t="s">
        <v>19</v>
      </c>
      <c r="O92" s="42">
        <v>45322</v>
      </c>
      <c r="P92" s="86" t="s">
        <v>297</v>
      </c>
    </row>
    <row r="93" spans="1:16" ht="37.5" customHeight="1" x14ac:dyDescent="0.2">
      <c r="A93" s="3">
        <v>1705326</v>
      </c>
      <c r="B93" s="4" t="s">
        <v>307</v>
      </c>
      <c r="C93" s="5">
        <v>530</v>
      </c>
      <c r="D93" s="6" t="str">
        <f>IF(C93&lt;=0,"",VLOOKUP(C93,[14]FF!A:D,2,0))</f>
        <v>PARTICIPACIONES Ramo 28</v>
      </c>
      <c r="E93" s="5" t="s">
        <v>308</v>
      </c>
      <c r="F93" s="7" t="s">
        <v>22</v>
      </c>
      <c r="G93" s="8">
        <v>371001</v>
      </c>
      <c r="H93" s="9" t="s">
        <v>31</v>
      </c>
      <c r="I93" s="10">
        <v>4611</v>
      </c>
      <c r="J93" s="10">
        <v>13500</v>
      </c>
      <c r="K93" s="10">
        <v>6692</v>
      </c>
      <c r="L93" s="10">
        <v>6806</v>
      </c>
      <c r="M93" s="41">
        <f>SUM(Tabla119[[#This Row],[TRIMESTRE  I]:[TRIMESTRE IV]])</f>
        <v>31609</v>
      </c>
      <c r="N93" s="12" t="s">
        <v>17</v>
      </c>
      <c r="O93" s="42">
        <v>45322</v>
      </c>
      <c r="P93" s="86" t="s">
        <v>301</v>
      </c>
    </row>
    <row r="94" spans="1:16" ht="37.5" customHeight="1" x14ac:dyDescent="0.2">
      <c r="A94" s="3">
        <v>1705326</v>
      </c>
      <c r="B94" s="4" t="s">
        <v>307</v>
      </c>
      <c r="C94" s="5">
        <v>530</v>
      </c>
      <c r="D94" s="6" t="str">
        <f>IF(C94&lt;=0,"",VLOOKUP(C94,[14]FF!A:D,2,0))</f>
        <v>PARTICIPACIONES Ramo 28</v>
      </c>
      <c r="E94" s="5" t="s">
        <v>308</v>
      </c>
      <c r="F94" s="7" t="s">
        <v>22</v>
      </c>
      <c r="G94" s="8">
        <v>375001</v>
      </c>
      <c r="H94" s="9" t="s">
        <v>48</v>
      </c>
      <c r="I94" s="10">
        <v>31346</v>
      </c>
      <c r="J94" s="10">
        <v>48750</v>
      </c>
      <c r="K94" s="10">
        <v>30806</v>
      </c>
      <c r="L94" s="10">
        <v>19180</v>
      </c>
      <c r="M94" s="41">
        <f>SUM(Tabla119[[#This Row],[TRIMESTRE  I]:[TRIMESTRE IV]])</f>
        <v>130082</v>
      </c>
      <c r="N94" s="12" t="s">
        <v>19</v>
      </c>
      <c r="O94" s="42">
        <v>45322</v>
      </c>
      <c r="P94" s="86" t="s">
        <v>297</v>
      </c>
    </row>
    <row r="95" spans="1:16" ht="37.5" customHeight="1" x14ac:dyDescent="0.2">
      <c r="A95" s="3">
        <v>1705327</v>
      </c>
      <c r="B95" s="4" t="s">
        <v>307</v>
      </c>
      <c r="C95" s="5">
        <v>530</v>
      </c>
      <c r="D95" s="6" t="str">
        <f>IF(C95&lt;=0,"",VLOOKUP(C95,[14]FF!A:D,2,0))</f>
        <v>PARTICIPACIONES Ramo 28</v>
      </c>
      <c r="E95" s="5" t="s">
        <v>309</v>
      </c>
      <c r="F95" s="7" t="s">
        <v>15</v>
      </c>
      <c r="G95" s="8">
        <v>211001</v>
      </c>
      <c r="H95" s="9" t="s">
        <v>16</v>
      </c>
      <c r="I95" s="10">
        <v>3600</v>
      </c>
      <c r="J95" s="10">
        <v>3600</v>
      </c>
      <c r="K95" s="10">
        <v>3600</v>
      </c>
      <c r="L95" s="10">
        <v>3600</v>
      </c>
      <c r="M95" s="41">
        <f>SUM(Tabla119[[#This Row],[TRIMESTRE  I]:[TRIMESTRE IV]])</f>
        <v>14400</v>
      </c>
      <c r="N95" s="12" t="s">
        <v>17</v>
      </c>
      <c r="O95" s="42">
        <v>45322</v>
      </c>
      <c r="P95" s="86" t="s">
        <v>296</v>
      </c>
    </row>
    <row r="96" spans="1:16" ht="37.5" customHeight="1" x14ac:dyDescent="0.2">
      <c r="A96" s="3">
        <v>1705327</v>
      </c>
      <c r="B96" s="4" t="s">
        <v>307</v>
      </c>
      <c r="C96" s="5">
        <v>530</v>
      </c>
      <c r="D96" s="6" t="str">
        <f>IF(C96&lt;=0,"",VLOOKUP(C96,[14]FF!A:D,2,0))</f>
        <v>PARTICIPACIONES Ramo 28</v>
      </c>
      <c r="E96" s="5" t="s">
        <v>309</v>
      </c>
      <c r="F96" s="7" t="s">
        <v>15</v>
      </c>
      <c r="G96" s="8">
        <v>212001</v>
      </c>
      <c r="H96" s="9" t="s">
        <v>50</v>
      </c>
      <c r="I96" s="10">
        <v>0</v>
      </c>
      <c r="J96" s="10">
        <v>0</v>
      </c>
      <c r="K96" s="10">
        <v>0</v>
      </c>
      <c r="L96" s="10">
        <v>0</v>
      </c>
      <c r="M96" s="41">
        <f>SUM(Tabla119[[#This Row],[TRIMESTRE  I]:[TRIMESTRE IV]])</f>
        <v>0</v>
      </c>
      <c r="N96" s="12" t="s">
        <v>19</v>
      </c>
      <c r="O96" s="42">
        <v>45322</v>
      </c>
      <c r="P96" s="86" t="s">
        <v>297</v>
      </c>
    </row>
    <row r="97" spans="1:16" ht="37.5" customHeight="1" x14ac:dyDescent="0.2">
      <c r="A97" s="3">
        <v>1705327</v>
      </c>
      <c r="B97" s="4" t="s">
        <v>307</v>
      </c>
      <c r="C97" s="5">
        <v>530</v>
      </c>
      <c r="D97" s="6" t="str">
        <f>IF(C97&lt;=0,"",VLOOKUP(C97,[14]FF!A:D,2,0))</f>
        <v>PARTICIPACIONES Ramo 28</v>
      </c>
      <c r="E97" s="5" t="s">
        <v>309</v>
      </c>
      <c r="F97" s="7" t="s">
        <v>15</v>
      </c>
      <c r="G97" s="8">
        <v>216001</v>
      </c>
      <c r="H97" s="9" t="s">
        <v>18</v>
      </c>
      <c r="I97" s="10">
        <v>3000</v>
      </c>
      <c r="J97" s="10">
        <v>3000</v>
      </c>
      <c r="K97" s="10">
        <v>3000</v>
      </c>
      <c r="L97" s="10">
        <v>3000</v>
      </c>
      <c r="M97" s="41">
        <f>SUM(Tabla119[[#This Row],[TRIMESTRE  I]:[TRIMESTRE IV]])</f>
        <v>12000</v>
      </c>
      <c r="N97" s="12" t="s">
        <v>17</v>
      </c>
      <c r="O97" s="42">
        <v>45322</v>
      </c>
      <c r="P97" s="86" t="s">
        <v>296</v>
      </c>
    </row>
    <row r="98" spans="1:16" ht="37.5" customHeight="1" x14ac:dyDescent="0.2">
      <c r="A98" s="3">
        <v>1705327</v>
      </c>
      <c r="B98" s="4" t="s">
        <v>307</v>
      </c>
      <c r="C98" s="5">
        <v>530</v>
      </c>
      <c r="D98" s="6" t="str">
        <f>IF(C98&lt;=0,"",VLOOKUP(C98,[14]FF!A:D,2,0))</f>
        <v>PARTICIPACIONES Ramo 28</v>
      </c>
      <c r="E98" s="5" t="s">
        <v>309</v>
      </c>
      <c r="F98" s="7" t="s">
        <v>15</v>
      </c>
      <c r="G98" s="8">
        <v>221001</v>
      </c>
      <c r="H98" s="9" t="s">
        <v>93</v>
      </c>
      <c r="I98" s="10">
        <v>1500</v>
      </c>
      <c r="J98" s="10">
        <v>1500</v>
      </c>
      <c r="K98" s="10">
        <v>1438</v>
      </c>
      <c r="L98" s="10">
        <v>1404</v>
      </c>
      <c r="M98" s="41">
        <f>SUM(Tabla119[[#This Row],[TRIMESTRE  I]:[TRIMESTRE IV]])</f>
        <v>5842</v>
      </c>
      <c r="N98" s="12" t="s">
        <v>19</v>
      </c>
      <c r="O98" s="42">
        <v>45322</v>
      </c>
      <c r="P98" s="86" t="s">
        <v>297</v>
      </c>
    </row>
    <row r="99" spans="1:16" ht="37.5" customHeight="1" x14ac:dyDescent="0.2">
      <c r="A99" s="3">
        <v>1705327</v>
      </c>
      <c r="B99" s="4" t="s">
        <v>307</v>
      </c>
      <c r="C99" s="5">
        <v>530</v>
      </c>
      <c r="D99" s="6" t="str">
        <f>IF(C99&lt;=0,"",VLOOKUP(C99,[14]FF!A:D,2,0))</f>
        <v>PARTICIPACIONES Ramo 28</v>
      </c>
      <c r="E99" s="5" t="s">
        <v>309</v>
      </c>
      <c r="F99" s="7" t="s">
        <v>15</v>
      </c>
      <c r="G99" s="8">
        <v>261001</v>
      </c>
      <c r="H99" s="9" t="s">
        <v>46</v>
      </c>
      <c r="I99" s="10">
        <v>40500</v>
      </c>
      <c r="J99" s="10">
        <v>40500</v>
      </c>
      <c r="K99" s="10">
        <v>40500</v>
      </c>
      <c r="L99" s="10">
        <v>40500</v>
      </c>
      <c r="M99" s="41">
        <f>SUM(Tabla119[[#This Row],[TRIMESTRE  I]:[TRIMESTRE IV]])</f>
        <v>162000</v>
      </c>
      <c r="N99" s="12" t="s">
        <v>17</v>
      </c>
      <c r="O99" s="42">
        <v>45322</v>
      </c>
      <c r="P99" s="86" t="s">
        <v>296</v>
      </c>
    </row>
    <row r="100" spans="1:16" ht="37.5" customHeight="1" x14ac:dyDescent="0.2">
      <c r="A100" s="3">
        <v>1705327</v>
      </c>
      <c r="B100" s="4" t="s">
        <v>307</v>
      </c>
      <c r="C100" s="5">
        <v>530</v>
      </c>
      <c r="D100" s="6" t="str">
        <f>IF(C100&lt;=0,"",VLOOKUP(C100,[14]FF!A:D,2,0))</f>
        <v>PARTICIPACIONES Ramo 28</v>
      </c>
      <c r="E100" s="5" t="s">
        <v>309</v>
      </c>
      <c r="F100" s="7" t="s">
        <v>15</v>
      </c>
      <c r="G100" s="8">
        <v>296001</v>
      </c>
      <c r="H100" s="9" t="s">
        <v>51</v>
      </c>
      <c r="I100" s="10">
        <v>3150</v>
      </c>
      <c r="J100" s="10">
        <v>3150</v>
      </c>
      <c r="K100" s="10">
        <v>1100</v>
      </c>
      <c r="L100" s="10">
        <v>1098</v>
      </c>
      <c r="M100" s="41">
        <f>SUM(Tabla119[[#This Row],[TRIMESTRE  I]:[TRIMESTRE IV]])</f>
        <v>8498</v>
      </c>
      <c r="N100" s="12" t="s">
        <v>19</v>
      </c>
      <c r="O100" s="42">
        <v>45322</v>
      </c>
      <c r="P100" s="86" t="s">
        <v>297</v>
      </c>
    </row>
    <row r="101" spans="1:16" ht="37.5" customHeight="1" x14ac:dyDescent="0.2">
      <c r="A101" s="3">
        <v>1705327</v>
      </c>
      <c r="B101" s="4" t="s">
        <v>307</v>
      </c>
      <c r="C101" s="5">
        <v>530</v>
      </c>
      <c r="D101" s="6" t="str">
        <f>IF(C101&lt;=0,"",VLOOKUP(C101,[14]FF!A:D,2,0))</f>
        <v>PARTICIPACIONES Ramo 28</v>
      </c>
      <c r="E101" s="5" t="s">
        <v>309</v>
      </c>
      <c r="F101" s="7" t="s">
        <v>22</v>
      </c>
      <c r="G101" s="8">
        <v>311001</v>
      </c>
      <c r="H101" s="9" t="s">
        <v>52</v>
      </c>
      <c r="I101" s="10">
        <v>712</v>
      </c>
      <c r="J101" s="10">
        <v>1424</v>
      </c>
      <c r="K101" s="10">
        <v>712</v>
      </c>
      <c r="L101" s="10">
        <v>1424</v>
      </c>
      <c r="M101" s="41">
        <f>SUM(Tabla119[[#This Row],[TRIMESTRE  I]:[TRIMESTRE IV]])</f>
        <v>4272</v>
      </c>
      <c r="N101" s="12" t="s">
        <v>17</v>
      </c>
      <c r="O101" s="42">
        <v>45322</v>
      </c>
      <c r="P101" s="86" t="s">
        <v>296</v>
      </c>
    </row>
    <row r="102" spans="1:16" ht="37.5" customHeight="1" x14ac:dyDescent="0.2">
      <c r="A102" s="3">
        <v>1705327</v>
      </c>
      <c r="B102" s="4" t="s">
        <v>307</v>
      </c>
      <c r="C102" s="5">
        <v>530</v>
      </c>
      <c r="D102" s="6" t="str">
        <f>IF(C102&lt;=0,"",VLOOKUP(C102,[14]FF!A:D,2,0))</f>
        <v>PARTICIPACIONES Ramo 28</v>
      </c>
      <c r="E102" s="5" t="s">
        <v>309</v>
      </c>
      <c r="F102" s="7" t="s">
        <v>22</v>
      </c>
      <c r="G102" s="8">
        <v>314001</v>
      </c>
      <c r="H102" s="9" t="s">
        <v>54</v>
      </c>
      <c r="I102" s="10">
        <v>1781</v>
      </c>
      <c r="J102" s="10">
        <v>1779</v>
      </c>
      <c r="K102" s="10">
        <v>1792</v>
      </c>
      <c r="L102" s="10">
        <v>1779</v>
      </c>
      <c r="M102" s="41">
        <f>SUM(Tabla119[[#This Row],[TRIMESTRE  I]:[TRIMESTRE IV]])</f>
        <v>7131</v>
      </c>
      <c r="N102" s="12" t="s">
        <v>17</v>
      </c>
      <c r="O102" s="42">
        <v>45322</v>
      </c>
      <c r="P102" s="86" t="s">
        <v>296</v>
      </c>
    </row>
    <row r="103" spans="1:16" ht="37.5" customHeight="1" x14ac:dyDescent="0.2">
      <c r="A103" s="3">
        <v>1705327</v>
      </c>
      <c r="B103" s="4" t="s">
        <v>307</v>
      </c>
      <c r="C103" s="5">
        <v>530</v>
      </c>
      <c r="D103" s="6" t="str">
        <f>IF(C103&lt;=0,"",VLOOKUP(C103,[14]FF!A:D,2,0))</f>
        <v>PARTICIPACIONES Ramo 28</v>
      </c>
      <c r="E103" s="5" t="s">
        <v>309</v>
      </c>
      <c r="F103" s="7" t="s">
        <v>22</v>
      </c>
      <c r="G103" s="8">
        <v>323001</v>
      </c>
      <c r="H103" s="9" t="s">
        <v>374</v>
      </c>
      <c r="I103" s="10">
        <v>14616</v>
      </c>
      <c r="J103" s="10">
        <v>14616</v>
      </c>
      <c r="K103" s="10">
        <v>14616</v>
      </c>
      <c r="L103" s="10">
        <v>14616</v>
      </c>
      <c r="M103" s="41">
        <f>SUM(Tabla119[[#This Row],[TRIMESTRE  I]:[TRIMESTRE IV]])</f>
        <v>58464</v>
      </c>
      <c r="N103" s="12" t="s">
        <v>30</v>
      </c>
      <c r="O103" s="42">
        <v>45322</v>
      </c>
      <c r="P103" s="86" t="s">
        <v>297</v>
      </c>
    </row>
    <row r="104" spans="1:16" ht="37.5" customHeight="1" x14ac:dyDescent="0.2">
      <c r="A104" s="3">
        <v>1705327</v>
      </c>
      <c r="B104" s="4" t="s">
        <v>307</v>
      </c>
      <c r="C104" s="5">
        <v>530</v>
      </c>
      <c r="D104" s="6" t="str">
        <f>IF(C104&lt;=0,"",VLOOKUP(C104,[14]FF!A:D,2,0))</f>
        <v>PARTICIPACIONES Ramo 28</v>
      </c>
      <c r="E104" s="5" t="s">
        <v>309</v>
      </c>
      <c r="F104" s="7" t="s">
        <v>22</v>
      </c>
      <c r="G104" s="8">
        <v>355001</v>
      </c>
      <c r="H104" s="9" t="s">
        <v>56</v>
      </c>
      <c r="I104" s="10">
        <v>10629</v>
      </c>
      <c r="J104" s="10">
        <v>12325</v>
      </c>
      <c r="K104" s="10">
        <v>8930</v>
      </c>
      <c r="L104" s="10">
        <v>9028</v>
      </c>
      <c r="M104" s="41">
        <f>SUM(Tabla119[[#This Row],[TRIMESTRE  I]:[TRIMESTRE IV]])</f>
        <v>40912</v>
      </c>
      <c r="N104" s="12" t="s">
        <v>19</v>
      </c>
      <c r="O104" s="42">
        <v>45322</v>
      </c>
      <c r="P104" s="86" t="s">
        <v>297</v>
      </c>
    </row>
    <row r="105" spans="1:16" ht="37.5" customHeight="1" x14ac:dyDescent="0.2">
      <c r="A105" s="3">
        <v>1705327</v>
      </c>
      <c r="B105" s="4" t="s">
        <v>307</v>
      </c>
      <c r="C105" s="5">
        <v>530</v>
      </c>
      <c r="D105" s="6" t="str">
        <f>IF(C105&lt;=0,"",VLOOKUP(C105,[14]FF!A:D,2,0))</f>
        <v>PARTICIPACIONES Ramo 28</v>
      </c>
      <c r="E105" s="5" t="s">
        <v>309</v>
      </c>
      <c r="F105" s="7" t="s">
        <v>22</v>
      </c>
      <c r="G105" s="8">
        <v>375001</v>
      </c>
      <c r="H105" s="9" t="s">
        <v>48</v>
      </c>
      <c r="I105" s="10">
        <v>16998</v>
      </c>
      <c r="J105" s="10">
        <v>16998</v>
      </c>
      <c r="K105" s="10">
        <v>17005</v>
      </c>
      <c r="L105" s="10">
        <v>16998</v>
      </c>
      <c r="M105" s="41">
        <f>SUM(Tabla119[[#This Row],[TRIMESTRE  I]:[TRIMESTRE IV]])</f>
        <v>67999</v>
      </c>
      <c r="N105" s="12" t="s">
        <v>19</v>
      </c>
      <c r="O105" s="42">
        <v>45322</v>
      </c>
      <c r="P105" s="86" t="s">
        <v>297</v>
      </c>
    </row>
    <row r="106" spans="1:16" ht="37.5" customHeight="1" x14ac:dyDescent="0.2">
      <c r="A106" s="3">
        <v>1705328</v>
      </c>
      <c r="B106" s="4" t="s">
        <v>307</v>
      </c>
      <c r="C106" s="5">
        <v>530</v>
      </c>
      <c r="D106" s="6" t="str">
        <f>IF(C106&lt;=0,"",VLOOKUP(C106,[14]FF!A:D,2,0))</f>
        <v>PARTICIPACIONES Ramo 28</v>
      </c>
      <c r="E106" s="5" t="s">
        <v>310</v>
      </c>
      <c r="F106" s="7" t="s">
        <v>15</v>
      </c>
      <c r="G106" s="8">
        <v>211001</v>
      </c>
      <c r="H106" s="9" t="s">
        <v>16</v>
      </c>
      <c r="I106" s="10">
        <v>5209</v>
      </c>
      <c r="J106" s="10">
        <v>11159</v>
      </c>
      <c r="K106" s="10">
        <v>4224</v>
      </c>
      <c r="L106" s="10">
        <v>4224</v>
      </c>
      <c r="M106" s="41">
        <f>SUM(Tabla119[[#This Row],[TRIMESTRE  I]:[TRIMESTRE IV]])</f>
        <v>24816</v>
      </c>
      <c r="N106" s="12" t="s">
        <v>17</v>
      </c>
      <c r="O106" s="42">
        <v>45322</v>
      </c>
      <c r="P106" s="86" t="s">
        <v>296</v>
      </c>
    </row>
    <row r="107" spans="1:16" ht="37.5" customHeight="1" x14ac:dyDescent="0.2">
      <c r="A107" s="3">
        <v>1705328</v>
      </c>
      <c r="B107" s="4" t="s">
        <v>307</v>
      </c>
      <c r="C107" s="5">
        <v>530</v>
      </c>
      <c r="D107" s="6" t="str">
        <f>IF(C107&lt;=0,"",VLOOKUP(C107,[14]FF!A:D,2,0))</f>
        <v>PARTICIPACIONES Ramo 28</v>
      </c>
      <c r="E107" s="5" t="s">
        <v>310</v>
      </c>
      <c r="F107" s="7" t="s">
        <v>15</v>
      </c>
      <c r="G107" s="8">
        <v>216001</v>
      </c>
      <c r="H107" s="9" t="s">
        <v>18</v>
      </c>
      <c r="I107" s="10">
        <v>3000</v>
      </c>
      <c r="J107" s="10">
        <v>3000</v>
      </c>
      <c r="K107" s="10">
        <v>3000</v>
      </c>
      <c r="L107" s="10">
        <v>3000</v>
      </c>
      <c r="M107" s="41">
        <f>SUM(Tabla119[[#This Row],[TRIMESTRE  I]:[TRIMESTRE IV]])</f>
        <v>12000</v>
      </c>
      <c r="N107" s="12" t="s">
        <v>17</v>
      </c>
      <c r="O107" s="42">
        <v>45322</v>
      </c>
      <c r="P107" s="86" t="s">
        <v>296</v>
      </c>
    </row>
    <row r="108" spans="1:16" ht="37.5" customHeight="1" x14ac:dyDescent="0.2">
      <c r="A108" s="3">
        <v>1705328</v>
      </c>
      <c r="B108" s="4" t="s">
        <v>307</v>
      </c>
      <c r="C108" s="5">
        <v>530</v>
      </c>
      <c r="D108" s="6" t="str">
        <f>IF(C108&lt;=0,"",VLOOKUP(C108,[14]FF!A:D,2,0))</f>
        <v>PARTICIPACIONES Ramo 28</v>
      </c>
      <c r="E108" s="5" t="s">
        <v>310</v>
      </c>
      <c r="F108" s="7" t="s">
        <v>15</v>
      </c>
      <c r="G108" s="8">
        <v>261001</v>
      </c>
      <c r="H108" s="9" t="s">
        <v>46</v>
      </c>
      <c r="I108" s="10">
        <v>45900</v>
      </c>
      <c r="J108" s="10">
        <v>44100</v>
      </c>
      <c r="K108" s="10">
        <v>43200</v>
      </c>
      <c r="L108" s="10">
        <v>43200</v>
      </c>
      <c r="M108" s="41">
        <f>SUM(Tabla119[[#This Row],[TRIMESTRE  I]:[TRIMESTRE IV]])</f>
        <v>176400</v>
      </c>
      <c r="N108" s="12" t="s">
        <v>17</v>
      </c>
      <c r="O108" s="42">
        <v>45322</v>
      </c>
      <c r="P108" s="86" t="s">
        <v>311</v>
      </c>
    </row>
    <row r="109" spans="1:16" ht="37.5" customHeight="1" x14ac:dyDescent="0.2">
      <c r="A109" s="3">
        <v>1705328</v>
      </c>
      <c r="B109" s="4" t="s">
        <v>307</v>
      </c>
      <c r="C109" s="5">
        <v>530</v>
      </c>
      <c r="D109" s="6" t="str">
        <f>IF(C109&lt;=0,"",VLOOKUP(C109,[14]FF!A:D,2,0))</f>
        <v>PARTICIPACIONES Ramo 28</v>
      </c>
      <c r="E109" s="5" t="s">
        <v>310</v>
      </c>
      <c r="F109" s="7" t="s">
        <v>15</v>
      </c>
      <c r="G109" s="8">
        <v>261002</v>
      </c>
      <c r="H109" s="9" t="s">
        <v>111</v>
      </c>
      <c r="I109" s="10">
        <v>0</v>
      </c>
      <c r="J109" s="10">
        <v>0</v>
      </c>
      <c r="K109" s="10">
        <v>0</v>
      </c>
      <c r="L109" s="10">
        <v>0</v>
      </c>
      <c r="M109" s="41">
        <f>SUM(Tabla119[[#This Row],[TRIMESTRE  I]:[TRIMESTRE IV]])</f>
        <v>0</v>
      </c>
      <c r="N109" s="12" t="s">
        <v>19</v>
      </c>
      <c r="O109" s="42">
        <v>45322</v>
      </c>
      <c r="P109" s="86" t="s">
        <v>297</v>
      </c>
    </row>
    <row r="110" spans="1:16" ht="37.5" customHeight="1" x14ac:dyDescent="0.2">
      <c r="A110" s="3">
        <v>1705328</v>
      </c>
      <c r="B110" s="4" t="s">
        <v>307</v>
      </c>
      <c r="C110" s="5">
        <v>530</v>
      </c>
      <c r="D110" s="6" t="str">
        <f>IF(C110&lt;=0,"",VLOOKUP(C110,[14]FF!A:D,2,0))</f>
        <v>PARTICIPACIONES Ramo 28</v>
      </c>
      <c r="E110" s="5" t="s">
        <v>310</v>
      </c>
      <c r="F110" s="7" t="s">
        <v>22</v>
      </c>
      <c r="G110" s="8">
        <v>311001</v>
      </c>
      <c r="H110" s="9" t="s">
        <v>52</v>
      </c>
      <c r="I110" s="10">
        <v>1178</v>
      </c>
      <c r="J110" s="10">
        <v>2354</v>
      </c>
      <c r="K110" s="10">
        <v>1177</v>
      </c>
      <c r="L110" s="10">
        <v>2354</v>
      </c>
      <c r="M110" s="41">
        <f>SUM(Tabla119[[#This Row],[TRIMESTRE  I]:[TRIMESTRE IV]])</f>
        <v>7063</v>
      </c>
      <c r="N110" s="12" t="s">
        <v>17</v>
      </c>
      <c r="O110" s="42">
        <v>45322</v>
      </c>
      <c r="P110" s="86" t="s">
        <v>296</v>
      </c>
    </row>
    <row r="111" spans="1:16" ht="37.5" customHeight="1" x14ac:dyDescent="0.2">
      <c r="A111" s="3">
        <v>1705328</v>
      </c>
      <c r="B111" s="4" t="s">
        <v>307</v>
      </c>
      <c r="C111" s="5">
        <v>530</v>
      </c>
      <c r="D111" s="6" t="str">
        <f>IF(C111&lt;=0,"",VLOOKUP(C111,[14]FF!A:D,2,0))</f>
        <v>PARTICIPACIONES Ramo 28</v>
      </c>
      <c r="E111" s="5" t="s">
        <v>310</v>
      </c>
      <c r="F111" s="7" t="s">
        <v>22</v>
      </c>
      <c r="G111" s="8">
        <v>314001</v>
      </c>
      <c r="H111" s="9" t="s">
        <v>54</v>
      </c>
      <c r="I111" s="10">
        <v>1893</v>
      </c>
      <c r="J111" s="10">
        <v>1893</v>
      </c>
      <c r="K111" s="10">
        <v>1906</v>
      </c>
      <c r="L111" s="10">
        <v>1893</v>
      </c>
      <c r="M111" s="41">
        <f>SUM(Tabla119[[#This Row],[TRIMESTRE  I]:[TRIMESTRE IV]])</f>
        <v>7585</v>
      </c>
      <c r="N111" s="12" t="s">
        <v>17</v>
      </c>
      <c r="O111" s="42">
        <v>45322</v>
      </c>
      <c r="P111" s="86" t="s">
        <v>296</v>
      </c>
    </row>
    <row r="112" spans="1:16" ht="37.5" customHeight="1" x14ac:dyDescent="0.2">
      <c r="A112" s="3">
        <v>1705328</v>
      </c>
      <c r="B112" s="4" t="s">
        <v>307</v>
      </c>
      <c r="C112" s="5">
        <v>530</v>
      </c>
      <c r="D112" s="6" t="str">
        <f>IF(C112&lt;=0,"",VLOOKUP(C112,[14]FF!A:D,2,0))</f>
        <v>PARTICIPACIONES Ramo 28</v>
      </c>
      <c r="E112" s="5" t="s">
        <v>310</v>
      </c>
      <c r="F112" s="7" t="s">
        <v>22</v>
      </c>
      <c r="G112" s="8">
        <v>355001</v>
      </c>
      <c r="H112" s="9" t="s">
        <v>56</v>
      </c>
      <c r="I112" s="10">
        <v>13709</v>
      </c>
      <c r="J112" s="10">
        <v>15513</v>
      </c>
      <c r="K112" s="10">
        <v>9452</v>
      </c>
      <c r="L112" s="10">
        <v>9590</v>
      </c>
      <c r="M112" s="41">
        <f>SUM(Tabla119[[#This Row],[TRIMESTRE  I]:[TRIMESTRE IV]])</f>
        <v>48264</v>
      </c>
      <c r="N112" s="12" t="s">
        <v>19</v>
      </c>
      <c r="O112" s="42">
        <v>45322</v>
      </c>
      <c r="P112" s="86" t="s">
        <v>297</v>
      </c>
    </row>
    <row r="113" spans="1:16" ht="37.5" customHeight="1" x14ac:dyDescent="0.2">
      <c r="A113" s="3">
        <v>1705328</v>
      </c>
      <c r="B113" s="4" t="s">
        <v>307</v>
      </c>
      <c r="C113" s="5">
        <v>530</v>
      </c>
      <c r="D113" s="6" t="str">
        <f>IF(C113&lt;=0,"",VLOOKUP(C113,[14]FF!A:D,2,0))</f>
        <v>PARTICIPACIONES Ramo 28</v>
      </c>
      <c r="E113" s="5" t="s">
        <v>310</v>
      </c>
      <c r="F113" s="7" t="s">
        <v>22</v>
      </c>
      <c r="G113" s="8">
        <v>375001</v>
      </c>
      <c r="H113" s="9" t="s">
        <v>48</v>
      </c>
      <c r="I113" s="10">
        <v>20855</v>
      </c>
      <c r="J113" s="10">
        <v>20298</v>
      </c>
      <c r="K113" s="10">
        <v>16998</v>
      </c>
      <c r="L113" s="10">
        <v>16998</v>
      </c>
      <c r="M113" s="41">
        <f>SUM(Tabla119[[#This Row],[TRIMESTRE  I]:[TRIMESTRE IV]])</f>
        <v>75149</v>
      </c>
      <c r="N113" s="12" t="s">
        <v>19</v>
      </c>
      <c r="O113" s="42">
        <v>45322</v>
      </c>
      <c r="P113" s="86" t="s">
        <v>297</v>
      </c>
    </row>
    <row r="114" spans="1:16" ht="37.5" customHeight="1" x14ac:dyDescent="0.2">
      <c r="A114" s="3">
        <v>1705329</v>
      </c>
      <c r="B114" s="4" t="s">
        <v>307</v>
      </c>
      <c r="C114" s="5">
        <v>530</v>
      </c>
      <c r="D114" s="6" t="str">
        <f>IF(C114&lt;=0,"",VLOOKUP(C114,[14]FF!A:D,2,0))</f>
        <v>PARTICIPACIONES Ramo 28</v>
      </c>
      <c r="E114" s="5" t="s">
        <v>312</v>
      </c>
      <c r="F114" s="7" t="s">
        <v>15</v>
      </c>
      <c r="G114" s="8">
        <v>211001</v>
      </c>
      <c r="H114" s="9" t="s">
        <v>16</v>
      </c>
      <c r="I114" s="10">
        <v>4185</v>
      </c>
      <c r="J114" s="10">
        <v>5955</v>
      </c>
      <c r="K114" s="10">
        <v>5955</v>
      </c>
      <c r="L114" s="10">
        <v>5953</v>
      </c>
      <c r="M114" s="41">
        <f>SUM(Tabla119[[#This Row],[TRIMESTRE  I]:[TRIMESTRE IV]])</f>
        <v>22048</v>
      </c>
      <c r="N114" s="12" t="s">
        <v>17</v>
      </c>
      <c r="O114" s="42">
        <v>45322</v>
      </c>
      <c r="P114" s="86" t="s">
        <v>296</v>
      </c>
    </row>
    <row r="115" spans="1:16" ht="37.5" customHeight="1" x14ac:dyDescent="0.2">
      <c r="A115" s="3">
        <v>1705329</v>
      </c>
      <c r="B115" s="4" t="s">
        <v>307</v>
      </c>
      <c r="C115" s="5">
        <v>530</v>
      </c>
      <c r="D115" s="6" t="str">
        <f>IF(C115&lt;=0,"",VLOOKUP(C115,[14]FF!A:D,2,0))</f>
        <v>PARTICIPACIONES Ramo 28</v>
      </c>
      <c r="E115" s="5" t="s">
        <v>312</v>
      </c>
      <c r="F115" s="7" t="s">
        <v>15</v>
      </c>
      <c r="G115" s="8">
        <v>212001</v>
      </c>
      <c r="H115" s="9" t="s">
        <v>50</v>
      </c>
      <c r="I115" s="10">
        <v>0</v>
      </c>
      <c r="J115" s="10">
        <v>0</v>
      </c>
      <c r="K115" s="10">
        <v>0</v>
      </c>
      <c r="L115" s="10">
        <v>0</v>
      </c>
      <c r="M115" s="41">
        <f>SUM(Tabla119[[#This Row],[TRIMESTRE  I]:[TRIMESTRE IV]])</f>
        <v>0</v>
      </c>
      <c r="N115" s="12" t="s">
        <v>19</v>
      </c>
      <c r="O115" s="42">
        <v>45322</v>
      </c>
      <c r="P115" s="86" t="s">
        <v>297</v>
      </c>
    </row>
    <row r="116" spans="1:16" ht="37.5" customHeight="1" x14ac:dyDescent="0.2">
      <c r="A116" s="3">
        <v>1705329</v>
      </c>
      <c r="B116" s="4" t="s">
        <v>307</v>
      </c>
      <c r="C116" s="5">
        <v>530</v>
      </c>
      <c r="D116" s="6" t="str">
        <f>IF(C116&lt;=0,"",VLOOKUP(C116,[14]FF!A:D,2,0))</f>
        <v>PARTICIPACIONES Ramo 28</v>
      </c>
      <c r="E116" s="5" t="s">
        <v>312</v>
      </c>
      <c r="F116" s="7" t="s">
        <v>15</v>
      </c>
      <c r="G116" s="8">
        <v>216001</v>
      </c>
      <c r="H116" s="9" t="s">
        <v>18</v>
      </c>
      <c r="I116" s="10">
        <v>3000</v>
      </c>
      <c r="J116" s="10">
        <v>3000</v>
      </c>
      <c r="K116" s="10">
        <v>3000</v>
      </c>
      <c r="L116" s="10">
        <v>3000</v>
      </c>
      <c r="M116" s="41">
        <f>SUM(Tabla119[[#This Row],[TRIMESTRE  I]:[TRIMESTRE IV]])</f>
        <v>12000</v>
      </c>
      <c r="N116" s="12" t="s">
        <v>17</v>
      </c>
      <c r="O116" s="42">
        <v>45322</v>
      </c>
      <c r="P116" s="86" t="s">
        <v>296</v>
      </c>
    </row>
    <row r="117" spans="1:16" ht="37.5" customHeight="1" x14ac:dyDescent="0.2">
      <c r="A117" s="3">
        <v>1705329</v>
      </c>
      <c r="B117" s="4" t="s">
        <v>307</v>
      </c>
      <c r="C117" s="5">
        <v>530</v>
      </c>
      <c r="D117" s="6" t="str">
        <f>IF(C117&lt;=0,"",VLOOKUP(C117,[14]FF!A:D,2,0))</f>
        <v>PARTICIPACIONES Ramo 28</v>
      </c>
      <c r="E117" s="5" t="s">
        <v>312</v>
      </c>
      <c r="F117" s="7" t="s">
        <v>15</v>
      </c>
      <c r="G117" s="8">
        <v>261001</v>
      </c>
      <c r="H117" s="9" t="s">
        <v>46</v>
      </c>
      <c r="I117" s="10">
        <v>33750</v>
      </c>
      <c r="J117" s="10">
        <v>33750</v>
      </c>
      <c r="K117" s="10">
        <v>33750</v>
      </c>
      <c r="L117" s="10">
        <v>33750</v>
      </c>
      <c r="M117" s="41">
        <f>SUM(Tabla119[[#This Row],[TRIMESTRE  I]:[TRIMESTRE IV]])</f>
        <v>135000</v>
      </c>
      <c r="N117" s="12" t="s">
        <v>17</v>
      </c>
      <c r="O117" s="42">
        <v>45322</v>
      </c>
      <c r="P117" s="86" t="s">
        <v>313</v>
      </c>
    </row>
    <row r="118" spans="1:16" ht="37.5" customHeight="1" x14ac:dyDescent="0.2">
      <c r="A118" s="3">
        <v>1705329</v>
      </c>
      <c r="B118" s="4" t="s">
        <v>307</v>
      </c>
      <c r="C118" s="5">
        <v>530</v>
      </c>
      <c r="D118" s="6" t="str">
        <f>IF(C118&lt;=0,"",VLOOKUP(C118,[14]FF!A:D,2,0))</f>
        <v>PARTICIPACIONES Ramo 28</v>
      </c>
      <c r="E118" s="5" t="s">
        <v>312</v>
      </c>
      <c r="F118" s="7" t="s">
        <v>15</v>
      </c>
      <c r="G118" s="8">
        <v>296001</v>
      </c>
      <c r="H118" s="9" t="s">
        <v>51</v>
      </c>
      <c r="I118" s="10">
        <v>2835</v>
      </c>
      <c r="J118" s="10">
        <v>2835</v>
      </c>
      <c r="K118" s="10">
        <v>2835</v>
      </c>
      <c r="L118" s="10">
        <v>2835</v>
      </c>
      <c r="M118" s="41">
        <f>SUM(Tabla119[[#This Row],[TRIMESTRE  I]:[TRIMESTRE IV]])</f>
        <v>11340</v>
      </c>
      <c r="N118" s="12" t="s">
        <v>19</v>
      </c>
      <c r="O118" s="42">
        <v>45322</v>
      </c>
      <c r="P118" s="86" t="s">
        <v>297</v>
      </c>
    </row>
    <row r="119" spans="1:16" ht="37.5" customHeight="1" x14ac:dyDescent="0.2">
      <c r="A119" s="3">
        <v>1705329</v>
      </c>
      <c r="B119" s="4" t="s">
        <v>307</v>
      </c>
      <c r="C119" s="5">
        <v>530</v>
      </c>
      <c r="D119" s="6" t="str">
        <f>IF(C119&lt;=0,"",VLOOKUP(C119,[14]FF!A:D,2,0))</f>
        <v>PARTICIPACIONES Ramo 28</v>
      </c>
      <c r="E119" s="5" t="s">
        <v>312</v>
      </c>
      <c r="F119" s="7" t="s">
        <v>22</v>
      </c>
      <c r="G119" s="8">
        <v>311001</v>
      </c>
      <c r="H119" s="9" t="s">
        <v>52</v>
      </c>
      <c r="I119" s="10">
        <v>969</v>
      </c>
      <c r="J119" s="10">
        <v>1938</v>
      </c>
      <c r="K119" s="10">
        <v>969</v>
      </c>
      <c r="L119" s="10">
        <v>1938</v>
      </c>
      <c r="M119" s="41">
        <f>SUM(Tabla119[[#This Row],[TRIMESTRE  I]:[TRIMESTRE IV]])</f>
        <v>5814</v>
      </c>
      <c r="N119" s="12" t="s">
        <v>17</v>
      </c>
      <c r="O119" s="42">
        <v>45322</v>
      </c>
      <c r="P119" s="86" t="s">
        <v>296</v>
      </c>
    </row>
    <row r="120" spans="1:16" ht="37.5" customHeight="1" x14ac:dyDescent="0.2">
      <c r="A120" s="3">
        <v>1705329</v>
      </c>
      <c r="B120" s="4" t="s">
        <v>307</v>
      </c>
      <c r="C120" s="5">
        <v>530</v>
      </c>
      <c r="D120" s="6" t="str">
        <f>IF(C120&lt;=0,"",VLOOKUP(C120,[14]FF!A:D,2,0))</f>
        <v>PARTICIPACIONES Ramo 28</v>
      </c>
      <c r="E120" s="5" t="s">
        <v>312</v>
      </c>
      <c r="F120" s="7" t="s">
        <v>22</v>
      </c>
      <c r="G120" s="8">
        <v>314001</v>
      </c>
      <c r="H120" s="9" t="s">
        <v>54</v>
      </c>
      <c r="I120" s="10">
        <v>9915</v>
      </c>
      <c r="J120" s="10">
        <v>10145</v>
      </c>
      <c r="K120" s="10">
        <v>9915</v>
      </c>
      <c r="L120" s="10">
        <v>9915</v>
      </c>
      <c r="M120" s="41">
        <f>SUM(Tabla119[[#This Row],[TRIMESTRE  I]:[TRIMESTRE IV]])</f>
        <v>39890</v>
      </c>
      <c r="N120" s="12" t="s">
        <v>17</v>
      </c>
      <c r="O120" s="42">
        <v>45322</v>
      </c>
      <c r="P120" s="86" t="s">
        <v>296</v>
      </c>
    </row>
    <row r="121" spans="1:16" ht="37.5" customHeight="1" x14ac:dyDescent="0.2">
      <c r="A121" s="3">
        <v>1705329</v>
      </c>
      <c r="B121" s="4" t="s">
        <v>307</v>
      </c>
      <c r="C121" s="5">
        <v>530</v>
      </c>
      <c r="D121" s="6" t="str">
        <f>IF(C121&lt;=0,"",VLOOKUP(C121,[14]FF!A:D,2,0))</f>
        <v>PARTICIPACIONES Ramo 28</v>
      </c>
      <c r="E121" s="5" t="s">
        <v>312</v>
      </c>
      <c r="F121" s="7" t="s">
        <v>22</v>
      </c>
      <c r="G121" s="8">
        <v>316001</v>
      </c>
      <c r="H121" s="9" t="s">
        <v>378</v>
      </c>
      <c r="I121" s="10">
        <v>421702</v>
      </c>
      <c r="J121" s="10">
        <v>451714</v>
      </c>
      <c r="K121" s="10">
        <v>455374</v>
      </c>
      <c r="L121" s="10">
        <v>459782</v>
      </c>
      <c r="M121" s="41">
        <f>SUM(Tabla119[[#This Row],[TRIMESTRE  I]:[TRIMESTRE IV]])</f>
        <v>1788572</v>
      </c>
      <c r="N121" s="12" t="s">
        <v>30</v>
      </c>
      <c r="O121" s="42"/>
      <c r="P121" s="86"/>
    </row>
    <row r="122" spans="1:16" ht="37.5" customHeight="1" x14ac:dyDescent="0.2">
      <c r="A122" s="3">
        <v>1705329</v>
      </c>
      <c r="B122" s="4" t="s">
        <v>307</v>
      </c>
      <c r="C122" s="5">
        <v>530</v>
      </c>
      <c r="D122" s="6" t="str">
        <f>IF(C122&lt;=0,"",VLOOKUP(C122,[14]FF!A:D,2,0))</f>
        <v>PARTICIPACIONES Ramo 28</v>
      </c>
      <c r="E122" s="5" t="s">
        <v>312</v>
      </c>
      <c r="F122" s="7" t="s">
        <v>22</v>
      </c>
      <c r="G122" s="8">
        <v>351001</v>
      </c>
      <c r="H122" s="9" t="s">
        <v>153</v>
      </c>
      <c r="I122" s="10">
        <v>0</v>
      </c>
      <c r="J122" s="10">
        <v>0</v>
      </c>
      <c r="K122" s="10">
        <v>0</v>
      </c>
      <c r="L122" s="10">
        <v>0</v>
      </c>
      <c r="M122" s="41">
        <f>SUM(Tabla119[[#This Row],[TRIMESTRE  I]:[TRIMESTRE IV]])</f>
        <v>0</v>
      </c>
      <c r="N122" s="12" t="s">
        <v>19</v>
      </c>
      <c r="O122" s="42">
        <v>45322</v>
      </c>
      <c r="P122" s="86" t="s">
        <v>297</v>
      </c>
    </row>
    <row r="123" spans="1:16" ht="37.5" customHeight="1" x14ac:dyDescent="0.2">
      <c r="A123" s="3">
        <v>1705329</v>
      </c>
      <c r="B123" s="4" t="s">
        <v>307</v>
      </c>
      <c r="C123" s="5">
        <v>530</v>
      </c>
      <c r="D123" s="6" t="str">
        <f>IF(C123&lt;=0,"",VLOOKUP(C123,[14]FF!A:D,2,0))</f>
        <v>PARTICIPACIONES Ramo 28</v>
      </c>
      <c r="E123" s="5" t="s">
        <v>312</v>
      </c>
      <c r="F123" s="7" t="s">
        <v>22</v>
      </c>
      <c r="G123" s="8">
        <v>355001</v>
      </c>
      <c r="H123" s="9" t="s">
        <v>56</v>
      </c>
      <c r="I123" s="10">
        <v>9803</v>
      </c>
      <c r="J123" s="10">
        <v>14409</v>
      </c>
      <c r="K123" s="10">
        <v>14412</v>
      </c>
      <c r="L123" s="10">
        <v>14412</v>
      </c>
      <c r="M123" s="41">
        <f>SUM(Tabla119[[#This Row],[TRIMESTRE  I]:[TRIMESTRE IV]])</f>
        <v>53036</v>
      </c>
      <c r="N123" s="12" t="s">
        <v>19</v>
      </c>
      <c r="O123" s="42">
        <v>45322</v>
      </c>
      <c r="P123" s="86" t="s">
        <v>297</v>
      </c>
    </row>
    <row r="124" spans="1:16" ht="37.5" customHeight="1" x14ac:dyDescent="0.2">
      <c r="A124" s="3">
        <v>1705329</v>
      </c>
      <c r="B124" s="4" t="s">
        <v>307</v>
      </c>
      <c r="C124" s="5">
        <v>530</v>
      </c>
      <c r="D124" s="6" t="str">
        <f>IF(C124&lt;=0,"",VLOOKUP(C124,[14]FF!A:D,2,0))</f>
        <v>PARTICIPACIONES Ramo 28</v>
      </c>
      <c r="E124" s="5" t="s">
        <v>312</v>
      </c>
      <c r="F124" s="7" t="s">
        <v>22</v>
      </c>
      <c r="G124" s="8">
        <v>375001</v>
      </c>
      <c r="H124" s="9" t="s">
        <v>48</v>
      </c>
      <c r="I124" s="10">
        <v>30445</v>
      </c>
      <c r="J124" s="10">
        <v>30417</v>
      </c>
      <c r="K124" s="10">
        <v>30409</v>
      </c>
      <c r="L124" s="10">
        <v>30420</v>
      </c>
      <c r="M124" s="41">
        <f>SUM(Tabla119[[#This Row],[TRIMESTRE  I]:[TRIMESTRE IV]])</f>
        <v>121691</v>
      </c>
      <c r="N124" s="12" t="s">
        <v>19</v>
      </c>
      <c r="O124" s="42">
        <v>45322</v>
      </c>
      <c r="P124" s="86" t="s">
        <v>297</v>
      </c>
    </row>
    <row r="125" spans="1:16" ht="37.5" customHeight="1" thickBot="1" x14ac:dyDescent="0.25">
      <c r="A125" s="97"/>
      <c r="B125" s="98"/>
      <c r="C125" s="99"/>
      <c r="D125" s="100"/>
      <c r="E125" s="99"/>
      <c r="F125" s="99"/>
      <c r="G125" s="101"/>
      <c r="H125" s="102" t="s">
        <v>32</v>
      </c>
      <c r="I125" s="103">
        <f>SUM(I5:I124)</f>
        <v>3260568</v>
      </c>
      <c r="J125" s="103">
        <f>SUM(J5:J124)</f>
        <v>3271366</v>
      </c>
      <c r="K125" s="104">
        <f>SUM(K5:K124)</f>
        <v>3229417</v>
      </c>
      <c r="L125" s="103">
        <f>SUM(L5:L124)</f>
        <v>3176590</v>
      </c>
      <c r="M125" s="105">
        <f>SUBTOTAL(109,Tabla119[[PRESUPUESTO ANUAL AUTORIZADO ]])</f>
        <v>12937941</v>
      </c>
      <c r="N125" s="103"/>
      <c r="O125" s="103"/>
      <c r="P125" s="101"/>
    </row>
    <row r="126" spans="1:16" ht="63.75" customHeight="1" thickTop="1" x14ac:dyDescent="0.2"/>
    <row r="127" spans="1:16" ht="37.5" customHeight="1" x14ac:dyDescent="0.25">
      <c r="B127"/>
      <c r="C127"/>
      <c r="D127"/>
      <c r="E127"/>
      <c r="F127"/>
      <c r="G127"/>
      <c r="H127"/>
      <c r="I127"/>
      <c r="J127"/>
      <c r="K127"/>
      <c r="L127"/>
      <c r="M127"/>
      <c r="N127"/>
    </row>
    <row r="128" spans="1:16" ht="37.5" customHeight="1" x14ac:dyDescent="0.25">
      <c r="B128"/>
      <c r="C128"/>
      <c r="D128"/>
      <c r="E128"/>
      <c r="F128"/>
      <c r="G128"/>
      <c r="H128"/>
      <c r="I128"/>
      <c r="J128"/>
      <c r="K128"/>
      <c r="L128"/>
      <c r="M128"/>
      <c r="N128"/>
    </row>
    <row r="129" spans="2:14" ht="37.5" customHeight="1" x14ac:dyDescent="0.25">
      <c r="B129"/>
      <c r="C129"/>
      <c r="D129"/>
      <c r="E129"/>
      <c r="F129"/>
      <c r="G129"/>
      <c r="H129"/>
      <c r="I129"/>
      <c r="J129"/>
      <c r="K129"/>
      <c r="L129"/>
      <c r="M129"/>
      <c r="N129"/>
    </row>
    <row r="130" spans="2:14" ht="63.75" customHeight="1" x14ac:dyDescent="0.25">
      <c r="B130"/>
      <c r="C130"/>
      <c r="D130"/>
      <c r="E130"/>
      <c r="F130"/>
      <c r="G130"/>
      <c r="H130"/>
      <c r="I130"/>
      <c r="J130"/>
      <c r="K130"/>
      <c r="L130"/>
      <c r="M130"/>
      <c r="N130"/>
    </row>
    <row r="131" spans="2:14" ht="63.75" customHeight="1" x14ac:dyDescent="0.2"/>
    <row r="132" spans="2:14" ht="12.75" x14ac:dyDescent="0.2"/>
    <row r="133" spans="2:14" ht="12.75" x14ac:dyDescent="0.2"/>
  </sheetData>
  <protectedRanges>
    <protectedRange algorithmName="SHA-512" hashValue="CVDb5J/0TlFD03lqit9XaA7LbCMGvWLCsduA3v8dImZEGhWfzgZ6Dg6bkjbAbJm1bYAcMLcpovU/dJmuMze5jw==" saltValue="QZ4X9aU2cO4/tAPW6011Dw==" spinCount="100000" sqref="N125:P125 N5:O124" name="EDITABLE 4"/>
    <protectedRange algorithmName="SHA-512" hashValue="ytsoXFfC1+WmXVaa1/e6XfcZ7vPjNmSnuZe33NqN4NcqbRxNJdzSGuklMRpskJNPYNNz1yZQe585JE4aSLisOg==" saltValue="/jSLFmNX0mB2vn2qhSJbtw==" spinCount="100000" sqref="I5:L125" name="EDITABLE 3"/>
    <protectedRange algorithmName="SHA-512" hashValue="pJNw8ysPJcfMEDlzTgza0siiHuU4FkUpIzbuTX325DFaYD5nL5ng0z0JoIGpE+CYch2hq/LccMqSM51MpHojPQ==" saltValue="xv9nj4u85CXs/Kmy5tmlKw==" spinCount="100000" sqref="E5:G125" name="EDITABLE 2"/>
    <protectedRange algorithmName="SHA-512" hashValue="Lst7hsT/mUUQvFsOUalIdMZhSjExDj/C7u4r1gIjHREwBj16N7lqODQ0CY6n+RXalo774Zm4aYZKVBS0n4XIeg==" saltValue="KfnRR/cqfK967zBK52Zr6A==" spinCount="100000" sqref="A5:C125" name="EDITABLE 1"/>
    <protectedRange algorithmName="SHA-512" hashValue="CVDb5J/0TlFD03lqit9XaA7LbCMGvWLCsduA3v8dImZEGhWfzgZ6Dg6bkjbAbJm1bYAcMLcpovU/dJmuMze5jw==" saltValue="QZ4X9aU2cO4/tAPW6011Dw==" spinCount="100000" sqref="P5 P29 P97 P116 P7:P8 P23:P24 P42:P43 P74:P75 P83:P84 P99 P52:P53 P11:P13 P21 P27 P34:P36 P40 P50 P56:P57 P61 P63:P66 P72 P77:P78 P81 P87:P88 P95 P101:P102 P106:P107 P110:P111 P114 P119:P120" name="EDITABLE 4_7_1"/>
    <protectedRange algorithmName="SHA-512" hashValue="CVDb5J/0TlFD03lqit9XaA7LbCMGvWLCsduA3v8dImZEGhWfzgZ6Dg6bkjbAbJm1bYAcMLcpovU/dJmuMze5jw==" saltValue="QZ4X9aU2cO4/tAPW6011Dw==" spinCount="100000" sqref="P6 P30 P98 P109 P9:P10 P32:P33 P54:P55 P76 P85:P86 P100 P118 P79:P80 P25:P26 P37 P67:P69 P89:P92 P22 P28 P39 P41 P44:P49 P51 P58:P60 P62 P71 P73 P82 P94 P96 P103:P105 P112:P113 P115 P14:P20 P121:P124" name="EDITABLE 4_7_1_1"/>
    <protectedRange algorithmName="SHA-512" hashValue="CVDb5J/0TlFD03lqit9XaA7LbCMGvWLCsduA3v8dImZEGhWfzgZ6Dg6bkjbAbJm1bYAcMLcpovU/dJmuMze5jw==" saltValue="QZ4X9aU2cO4/tAPW6011Dw==" spinCount="100000" sqref="P31 P38 P70 P93 P108 P117" name="EDITABLE 4_9"/>
  </protectedRanges>
  <mergeCells count="3">
    <mergeCell ref="A1:P1"/>
    <mergeCell ref="A2:P2"/>
    <mergeCell ref="A3:P3"/>
  </mergeCells>
  <dataValidations count="2">
    <dataValidation type="list" allowBlank="1" showInputMessage="1" showErrorMessage="1" sqref="G5:G124" xr:uid="{6213E391-C891-45AD-A1FF-D1CD40DBE57F}">
      <formula1>INDIRECT(F5)</formula1>
    </dataValidation>
    <dataValidation type="list" allowBlank="1" showInputMessage="1" showErrorMessage="1" sqref="F5:F124" xr:uid="{D4107178-549B-4B45-9107-0F917135F073}">
      <formula1>CAPITULOS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5" scale="56" fitToHeight="0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C1CEDD-D390-4B29-8CF1-0719E4496F30}">
  <sheetPr>
    <tabColor rgb="FF00B050"/>
    <pageSetUpPr fitToPage="1"/>
  </sheetPr>
  <dimension ref="A1:P154"/>
  <sheetViews>
    <sheetView view="pageBreakPreview" topLeftCell="B52" zoomScale="60" zoomScaleNormal="100" workbookViewId="0">
      <selection activeCell="B4" sqref="A4:XFD4"/>
    </sheetView>
  </sheetViews>
  <sheetFormatPr baseColWidth="10" defaultColWidth="11.42578125" defaultRowHeight="37.5" customHeight="1" x14ac:dyDescent="0.2"/>
  <cols>
    <col min="1" max="1" width="9.85546875" style="1" customWidth="1"/>
    <col min="2" max="2" width="17.5703125" style="1" customWidth="1"/>
    <col min="3" max="3" width="18.140625" style="1" customWidth="1"/>
    <col min="4" max="4" width="17.42578125" style="1" customWidth="1"/>
    <col min="5" max="5" width="14.7109375" style="1" customWidth="1"/>
    <col min="6" max="6" width="11.140625" style="1" customWidth="1"/>
    <col min="7" max="7" width="13" style="1" customWidth="1"/>
    <col min="8" max="8" width="32.140625" style="1" customWidth="1"/>
    <col min="9" max="9" width="13.5703125" style="1" customWidth="1"/>
    <col min="10" max="10" width="14.5703125" style="1" customWidth="1"/>
    <col min="11" max="11" width="12.85546875" style="1" customWidth="1"/>
    <col min="12" max="12" width="14.42578125" style="1" customWidth="1"/>
    <col min="13" max="13" width="19" style="1" customWidth="1"/>
    <col min="14" max="15" width="21.7109375" style="1" customWidth="1"/>
    <col min="16" max="16" width="18.5703125" style="1" customWidth="1"/>
    <col min="17" max="16384" width="11.42578125" style="1"/>
  </cols>
  <sheetData>
    <row r="1" spans="1:16" ht="22.5" customHeight="1" x14ac:dyDescent="0.2">
      <c r="A1" s="115" t="s">
        <v>24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</row>
    <row r="2" spans="1:16" ht="18.75" customHeight="1" x14ac:dyDescent="0.2">
      <c r="A2" s="116" t="s">
        <v>379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</row>
    <row r="3" spans="1:16" ht="25.5" customHeight="1" x14ac:dyDescent="0.2">
      <c r="A3" s="117" t="s">
        <v>25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</row>
    <row r="4" spans="1:16" s="2" customFormat="1" ht="48" customHeight="1" x14ac:dyDescent="0.2">
      <c r="A4" s="72" t="s">
        <v>0</v>
      </c>
      <c r="B4" s="72" t="s">
        <v>1</v>
      </c>
      <c r="C4" s="72" t="s">
        <v>2</v>
      </c>
      <c r="D4" s="72" t="s">
        <v>3</v>
      </c>
      <c r="E4" s="72" t="s">
        <v>4</v>
      </c>
      <c r="F4" s="72" t="s">
        <v>5</v>
      </c>
      <c r="G4" s="72" t="s">
        <v>6</v>
      </c>
      <c r="H4" s="72" t="s">
        <v>7</v>
      </c>
      <c r="I4" s="72" t="s">
        <v>26</v>
      </c>
      <c r="J4" s="72" t="s">
        <v>8</v>
      </c>
      <c r="K4" s="72" t="s">
        <v>9</v>
      </c>
      <c r="L4" s="72" t="s">
        <v>10</v>
      </c>
      <c r="M4" s="72" t="s">
        <v>27</v>
      </c>
      <c r="N4" s="72" t="s">
        <v>11</v>
      </c>
      <c r="O4" s="72" t="s">
        <v>12</v>
      </c>
      <c r="P4" s="72" t="s">
        <v>13</v>
      </c>
    </row>
    <row r="5" spans="1:16" ht="37.5" customHeight="1" x14ac:dyDescent="0.2">
      <c r="A5" s="3">
        <v>201</v>
      </c>
      <c r="B5" s="4" t="s">
        <v>316</v>
      </c>
      <c r="C5" s="5">
        <v>101</v>
      </c>
      <c r="D5" s="6" t="str">
        <f>IF(C5&lt;=0,"",VLOOKUP(C5,[2]FF!A:D,2,0))</f>
        <v>INGRESOS PROPIOS (IMPUESTOS, DERECHOS, PRODUCTOS Y APROVECHAMIENTOS)</v>
      </c>
      <c r="E5" s="5" t="s">
        <v>317</v>
      </c>
      <c r="F5" s="7" t="s">
        <v>15</v>
      </c>
      <c r="G5" s="8">
        <v>211001</v>
      </c>
      <c r="H5" s="9" t="str">
        <f>IF(G5&lt;=0,"",VLOOKUP(G5,[2]COG!A:H,2,0))</f>
        <v>Material de oficina</v>
      </c>
      <c r="I5" s="10">
        <v>16635</v>
      </c>
      <c r="J5" s="10">
        <v>16639</v>
      </c>
      <c r="K5" s="10">
        <v>16641</v>
      </c>
      <c r="L5" s="10">
        <v>16641</v>
      </c>
      <c r="M5" s="11">
        <f>SUM(Tabla1[[#This Row],[TRIMESTRE  I]:[TRIMESTRE IV]])</f>
        <v>66556</v>
      </c>
      <c r="N5" s="12" t="s">
        <v>17</v>
      </c>
      <c r="O5" s="12" t="s">
        <v>334</v>
      </c>
      <c r="P5" s="8" t="s">
        <v>318</v>
      </c>
    </row>
    <row r="6" spans="1:16" ht="37.5" customHeight="1" x14ac:dyDescent="0.2">
      <c r="A6" s="3">
        <v>201</v>
      </c>
      <c r="B6" s="4" t="s">
        <v>316</v>
      </c>
      <c r="C6" s="5">
        <v>101</v>
      </c>
      <c r="D6" s="6" t="str">
        <f>IF(C6&lt;=0,"",VLOOKUP(C6,[2]FF!A:D,2,0))</f>
        <v>INGRESOS PROPIOS (IMPUESTOS, DERECHOS, PRODUCTOS Y APROVECHAMIENTOS)</v>
      </c>
      <c r="E6" s="5" t="s">
        <v>317</v>
      </c>
      <c r="F6" s="7" t="s">
        <v>15</v>
      </c>
      <c r="G6" s="8">
        <v>212001</v>
      </c>
      <c r="H6" s="9" t="str">
        <f>IF(G6&lt;=0,"",VLOOKUP(G6,[2]COG!A:H,2,0))</f>
        <v>Material y útiles de impresión</v>
      </c>
      <c r="I6" s="10">
        <v>12307</v>
      </c>
      <c r="J6" s="10">
        <v>12309</v>
      </c>
      <c r="K6" s="10">
        <v>12306</v>
      </c>
      <c r="L6" s="10">
        <v>12306</v>
      </c>
      <c r="M6" s="11">
        <f>SUM(Tabla1[[#This Row],[TRIMESTRE  I]:[TRIMESTRE IV]])</f>
        <v>49228</v>
      </c>
      <c r="N6" s="12" t="s">
        <v>319</v>
      </c>
      <c r="O6" s="12" t="s">
        <v>334</v>
      </c>
      <c r="P6" s="8" t="s">
        <v>320</v>
      </c>
    </row>
    <row r="7" spans="1:16" ht="37.5" customHeight="1" x14ac:dyDescent="0.2">
      <c r="A7" s="3">
        <v>201</v>
      </c>
      <c r="B7" s="4" t="s">
        <v>316</v>
      </c>
      <c r="C7" s="5">
        <v>101</v>
      </c>
      <c r="D7" s="6" t="str">
        <f>IF(C7&lt;=0,"",VLOOKUP(C7,[2]FF!A:D,2,0))</f>
        <v>INGRESOS PROPIOS (IMPUESTOS, DERECHOS, PRODUCTOS Y APROVECHAMIENTOS)</v>
      </c>
      <c r="E7" s="5" t="s">
        <v>317</v>
      </c>
      <c r="F7" s="7" t="s">
        <v>15</v>
      </c>
      <c r="G7" s="8">
        <v>216001</v>
      </c>
      <c r="H7" s="9" t="str">
        <f>IF(G7&lt;=0,"",VLOOKUP(G7,[2]COG!A:H,2,0))</f>
        <v>Material de limpieza</v>
      </c>
      <c r="I7" s="10">
        <v>9084</v>
      </c>
      <c r="J7" s="10">
        <v>9086</v>
      </c>
      <c r="K7" s="10">
        <v>9087</v>
      </c>
      <c r="L7" s="10">
        <v>9087</v>
      </c>
      <c r="M7" s="11">
        <f>SUM(Tabla1[[#This Row],[TRIMESTRE  I]:[TRIMESTRE IV]])</f>
        <v>36344</v>
      </c>
      <c r="N7" s="12" t="s">
        <v>17</v>
      </c>
      <c r="O7" s="12" t="s">
        <v>334</v>
      </c>
      <c r="P7" s="8" t="s">
        <v>318</v>
      </c>
    </row>
    <row r="8" spans="1:16" ht="37.5" customHeight="1" x14ac:dyDescent="0.2">
      <c r="A8" s="3">
        <v>201</v>
      </c>
      <c r="B8" s="4" t="s">
        <v>316</v>
      </c>
      <c r="C8" s="5">
        <v>101</v>
      </c>
      <c r="D8" s="6" t="str">
        <f>IF(C8&lt;=0,"",VLOOKUP(C8,[2]FF!A:D,2,0))</f>
        <v>INGRESOS PROPIOS (IMPUESTOS, DERECHOS, PRODUCTOS Y APROVECHAMIENTOS)</v>
      </c>
      <c r="E8" s="5" t="s">
        <v>317</v>
      </c>
      <c r="F8" s="7" t="s">
        <v>15</v>
      </c>
      <c r="G8" s="8">
        <v>221001</v>
      </c>
      <c r="H8" s="9" t="str">
        <f>IF(G8&lt;=0,"",VLOOKUP(G8,[2]COG!A:H,2,0))</f>
        <v>Alimentación de personas</v>
      </c>
      <c r="I8" s="10">
        <v>65532</v>
      </c>
      <c r="J8" s="10">
        <v>65532</v>
      </c>
      <c r="K8" s="10">
        <v>65532</v>
      </c>
      <c r="L8" s="10">
        <v>65532</v>
      </c>
      <c r="M8" s="11">
        <f>SUM(Tabla1[[#This Row],[TRIMESTRE  I]:[TRIMESTRE IV]])</f>
        <v>262128</v>
      </c>
      <c r="N8" s="12" t="s">
        <v>321</v>
      </c>
      <c r="O8" s="12" t="s">
        <v>334</v>
      </c>
      <c r="P8" s="8" t="s">
        <v>322</v>
      </c>
    </row>
    <row r="9" spans="1:16" ht="37.5" customHeight="1" x14ac:dyDescent="0.2">
      <c r="A9" s="3">
        <v>201</v>
      </c>
      <c r="B9" s="4" t="s">
        <v>316</v>
      </c>
      <c r="C9" s="5">
        <v>101</v>
      </c>
      <c r="D9" s="6" t="str">
        <f>IF(C9&lt;=0,"",VLOOKUP(C9,[2]FF!A:D,2,0))</f>
        <v>INGRESOS PROPIOS (IMPUESTOS, DERECHOS, PRODUCTOS Y APROVECHAMIENTOS)</v>
      </c>
      <c r="E9" s="5" t="s">
        <v>317</v>
      </c>
      <c r="F9" s="7" t="s">
        <v>15</v>
      </c>
      <c r="G9" s="8">
        <v>246001</v>
      </c>
      <c r="H9" s="9" t="str">
        <f>IF(G9&lt;=0,"",VLOOKUP(G9,[2]COG!A:H,2,0))</f>
        <v>Material eléctrico</v>
      </c>
      <c r="I9" s="10">
        <v>1938</v>
      </c>
      <c r="J9" s="10">
        <v>1938</v>
      </c>
      <c r="K9" s="10">
        <v>1938</v>
      </c>
      <c r="L9" s="10">
        <v>1933</v>
      </c>
      <c r="M9" s="11">
        <f>SUM(Tabla1[[#This Row],[TRIMESTRE  I]:[TRIMESTRE IV]])</f>
        <v>7747</v>
      </c>
      <c r="N9" s="12"/>
      <c r="O9" s="12"/>
      <c r="P9" s="8"/>
    </row>
    <row r="10" spans="1:16" ht="37.5" customHeight="1" x14ac:dyDescent="0.2">
      <c r="A10" s="3">
        <v>201</v>
      </c>
      <c r="B10" s="4" t="s">
        <v>316</v>
      </c>
      <c r="C10" s="5">
        <v>101</v>
      </c>
      <c r="D10" s="6" t="str">
        <f>IF(C10&lt;=0,"",VLOOKUP(C10,[2]FF!A:D,2,0))</f>
        <v>INGRESOS PROPIOS (IMPUESTOS, DERECHOS, PRODUCTOS Y APROVECHAMIENTOS)</v>
      </c>
      <c r="E10" s="5" t="s">
        <v>317</v>
      </c>
      <c r="F10" s="7" t="s">
        <v>15</v>
      </c>
      <c r="G10" s="8">
        <v>261001</v>
      </c>
      <c r="H10" s="9" t="str">
        <f>IF(G10&lt;=0,"",VLOOKUP(G10,[2]COG!A:H,2,0))</f>
        <v>Combustibles</v>
      </c>
      <c r="I10" s="10">
        <v>229257</v>
      </c>
      <c r="J10" s="10">
        <v>229257</v>
      </c>
      <c r="K10" s="10">
        <v>229257</v>
      </c>
      <c r="L10" s="10">
        <v>194010</v>
      </c>
      <c r="M10" s="11">
        <f>SUM(Tabla1[[#This Row],[TRIMESTRE  I]:[TRIMESTRE IV]])</f>
        <v>881781</v>
      </c>
      <c r="N10" s="12" t="s">
        <v>17</v>
      </c>
      <c r="O10" s="13" t="s">
        <v>335</v>
      </c>
      <c r="P10" s="8" t="s">
        <v>318</v>
      </c>
    </row>
    <row r="11" spans="1:16" ht="37.5" customHeight="1" x14ac:dyDescent="0.2">
      <c r="A11" s="3">
        <v>201</v>
      </c>
      <c r="B11" s="4" t="s">
        <v>316</v>
      </c>
      <c r="C11" s="5">
        <v>101</v>
      </c>
      <c r="D11" s="6" t="str">
        <f>IF(C11&lt;=0,"",VLOOKUP(C11,[2]FF!A:D,2,0))</f>
        <v>INGRESOS PROPIOS (IMPUESTOS, DERECHOS, PRODUCTOS Y APROVECHAMIENTOS)</v>
      </c>
      <c r="E11" s="5" t="s">
        <v>317</v>
      </c>
      <c r="F11" s="7" t="s">
        <v>15</v>
      </c>
      <c r="G11" s="8">
        <v>271001</v>
      </c>
      <c r="H11" s="9" t="str">
        <f>IF(G11&lt;=0,"",VLOOKUP(G11,[2]COG!A:H,2,0))</f>
        <v>Ropa, vestuario y equipo</v>
      </c>
      <c r="I11" s="10">
        <v>6027</v>
      </c>
      <c r="J11" s="10">
        <v>6027</v>
      </c>
      <c r="K11" s="10">
        <v>6027</v>
      </c>
      <c r="L11" s="10">
        <v>6026</v>
      </c>
      <c r="M11" s="11">
        <f>SUM(Tabla1[[#This Row],[TRIMESTRE  I]:[TRIMESTRE IV]])</f>
        <v>24107</v>
      </c>
      <c r="N11" s="12" t="s">
        <v>17</v>
      </c>
      <c r="O11" s="12" t="s">
        <v>335</v>
      </c>
      <c r="P11" s="8" t="s">
        <v>318</v>
      </c>
    </row>
    <row r="12" spans="1:16" ht="37.5" customHeight="1" x14ac:dyDescent="0.2">
      <c r="A12" s="3">
        <v>201</v>
      </c>
      <c r="B12" s="4" t="s">
        <v>316</v>
      </c>
      <c r="C12" s="5">
        <v>101</v>
      </c>
      <c r="D12" s="6" t="str">
        <f>IF(C12&lt;=0,"",VLOOKUP(C12,[2]FF!A:D,2,0))</f>
        <v>INGRESOS PROPIOS (IMPUESTOS, DERECHOS, PRODUCTOS Y APROVECHAMIENTOS)</v>
      </c>
      <c r="E12" s="5" t="s">
        <v>317</v>
      </c>
      <c r="F12" s="7" t="s">
        <v>15</v>
      </c>
      <c r="G12" s="8">
        <v>296001</v>
      </c>
      <c r="H12" s="9" t="str">
        <f>IF(G12&lt;=0,"",VLOOKUP(G12,[2]COG!A:H,2,0))</f>
        <v>Herramientas, refacciones y accesorios</v>
      </c>
      <c r="I12" s="10">
        <v>8924</v>
      </c>
      <c r="J12" s="10">
        <v>8696</v>
      </c>
      <c r="K12" s="10">
        <v>8691</v>
      </c>
      <c r="L12" s="10">
        <v>8688</v>
      </c>
      <c r="M12" s="11">
        <f>SUM(Tabla1[[#This Row],[TRIMESTRE  I]:[TRIMESTRE IV]])</f>
        <v>34999</v>
      </c>
      <c r="N12" s="12" t="s">
        <v>19</v>
      </c>
      <c r="O12" s="12" t="s">
        <v>334</v>
      </c>
      <c r="P12" s="8" t="s">
        <v>320</v>
      </c>
    </row>
    <row r="13" spans="1:16" ht="37.5" customHeight="1" x14ac:dyDescent="0.2">
      <c r="A13" s="3">
        <v>201</v>
      </c>
      <c r="B13" s="4" t="s">
        <v>316</v>
      </c>
      <c r="C13" s="5">
        <v>101</v>
      </c>
      <c r="D13" s="6" t="str">
        <f>IF(C13&lt;=0,"",VLOOKUP(C13,[2]FF!A:D,2,0))</f>
        <v>INGRESOS PROPIOS (IMPUESTOS, DERECHOS, PRODUCTOS Y APROVECHAMIENTOS)</v>
      </c>
      <c r="E13" s="5" t="s">
        <v>317</v>
      </c>
      <c r="F13" s="7" t="s">
        <v>22</v>
      </c>
      <c r="G13" s="8">
        <v>311001</v>
      </c>
      <c r="H13" s="9" t="str">
        <f>IF(G13&lt;=0,"",VLOOKUP(G13,[2]COG!A:H,2,0))</f>
        <v>Servicio de energía eléctrica</v>
      </c>
      <c r="I13" s="10">
        <v>29156</v>
      </c>
      <c r="J13" s="10">
        <v>29155</v>
      </c>
      <c r="K13" s="10">
        <v>20411</v>
      </c>
      <c r="L13" s="10">
        <v>11659</v>
      </c>
      <c r="M13" s="11">
        <f>SUM(Tabla1[[#This Row],[TRIMESTRE  I]:[TRIMESTRE IV]])</f>
        <v>90381</v>
      </c>
      <c r="N13" s="12"/>
      <c r="O13" s="13"/>
      <c r="P13" s="8"/>
    </row>
    <row r="14" spans="1:16" ht="37.5" customHeight="1" x14ac:dyDescent="0.2">
      <c r="A14" s="3">
        <v>201</v>
      </c>
      <c r="B14" s="4" t="s">
        <v>316</v>
      </c>
      <c r="C14" s="5">
        <v>101</v>
      </c>
      <c r="D14" s="6" t="str">
        <f>IF(C14&lt;=0,"",VLOOKUP(C14,[2]FF!A:D,2,0))</f>
        <v>INGRESOS PROPIOS (IMPUESTOS, DERECHOS, PRODUCTOS Y APROVECHAMIENTOS)</v>
      </c>
      <c r="E14" s="5" t="s">
        <v>317</v>
      </c>
      <c r="F14" s="7" t="s">
        <v>22</v>
      </c>
      <c r="G14" s="8">
        <v>314001</v>
      </c>
      <c r="H14" s="9" t="str">
        <f>IF(G14&lt;=0,"",VLOOKUP(G14,[2]COG!A:H,2,0))</f>
        <v>Servicio telefónico</v>
      </c>
      <c r="I14" s="10">
        <v>101133</v>
      </c>
      <c r="J14" s="10">
        <v>101133</v>
      </c>
      <c r="K14" s="10">
        <v>101133</v>
      </c>
      <c r="L14" s="10">
        <v>69118</v>
      </c>
      <c r="M14" s="11">
        <f>SUM(Tabla1[[#This Row],[TRIMESTRE  I]:[TRIMESTRE IV]])</f>
        <v>372517</v>
      </c>
      <c r="N14" s="12"/>
      <c r="O14" s="13"/>
      <c r="P14" s="8"/>
    </row>
    <row r="15" spans="1:16" ht="37.5" customHeight="1" x14ac:dyDescent="0.2">
      <c r="A15" s="3">
        <v>201</v>
      </c>
      <c r="B15" s="4" t="s">
        <v>316</v>
      </c>
      <c r="C15" s="5">
        <v>101</v>
      </c>
      <c r="D15" s="6" t="str">
        <f>IF(C15&lt;=0,"",VLOOKUP(C15,[2]FF!A:D,2,0))</f>
        <v>INGRESOS PROPIOS (IMPUESTOS, DERECHOS, PRODUCTOS Y APROVECHAMIENTOS)</v>
      </c>
      <c r="E15" s="5" t="s">
        <v>317</v>
      </c>
      <c r="F15" s="7" t="s">
        <v>22</v>
      </c>
      <c r="G15" s="8">
        <v>323001</v>
      </c>
      <c r="H15" s="9" t="str">
        <f>IF(G15&lt;=0,"",VLOOKUP(G15,[2]COG!A:H,2,0))</f>
        <v>Arrendamiento de maquinaria y equipo</v>
      </c>
      <c r="I15" s="10">
        <v>27535</v>
      </c>
      <c r="J15" s="10">
        <v>27534</v>
      </c>
      <c r="K15" s="10">
        <v>27537</v>
      </c>
      <c r="L15" s="10">
        <v>27486</v>
      </c>
      <c r="M15" s="11">
        <f>SUM(Tabla1[[#This Row],[TRIMESTRE  I]:[TRIMESTRE IV]])</f>
        <v>110092</v>
      </c>
      <c r="N15" s="12" t="s">
        <v>17</v>
      </c>
      <c r="O15" s="13" t="s">
        <v>335</v>
      </c>
      <c r="P15" s="8" t="s">
        <v>318</v>
      </c>
    </row>
    <row r="16" spans="1:16" ht="37.5" customHeight="1" x14ac:dyDescent="0.2">
      <c r="A16" s="3">
        <v>201</v>
      </c>
      <c r="B16" s="4" t="s">
        <v>316</v>
      </c>
      <c r="C16" s="5">
        <v>101</v>
      </c>
      <c r="D16" s="6" t="str">
        <f>IF(C16&lt;=0,"",VLOOKUP(C16,[2]FF!A:D,2,0))</f>
        <v>INGRESOS PROPIOS (IMPUESTOS, DERECHOS, PRODUCTOS Y APROVECHAMIENTOS)</v>
      </c>
      <c r="E16" s="5" t="s">
        <v>317</v>
      </c>
      <c r="F16" s="7" t="s">
        <v>22</v>
      </c>
      <c r="G16" s="8">
        <v>334001</v>
      </c>
      <c r="H16" s="9" t="str">
        <f>IF(G16&lt;=0,"",VLOOKUP(G16,[2]COG!A:H,2,0))</f>
        <v>Cuotas e inscripciones</v>
      </c>
      <c r="I16" s="10">
        <v>546</v>
      </c>
      <c r="J16" s="10">
        <v>546</v>
      </c>
      <c r="K16" s="10">
        <v>546</v>
      </c>
      <c r="L16" s="10">
        <v>546</v>
      </c>
      <c r="M16" s="11">
        <f>SUM(Tabla1[[#This Row],[TRIMESTRE  I]:[TRIMESTRE IV]])</f>
        <v>2184</v>
      </c>
      <c r="N16" s="12"/>
      <c r="O16" s="12"/>
      <c r="P16" s="8"/>
    </row>
    <row r="17" spans="1:16" ht="37.5" customHeight="1" x14ac:dyDescent="0.2">
      <c r="A17" s="3">
        <v>201</v>
      </c>
      <c r="B17" s="4" t="s">
        <v>316</v>
      </c>
      <c r="C17" s="5">
        <v>101</v>
      </c>
      <c r="D17" s="6" t="str">
        <f>IF(C17&lt;=0,"",VLOOKUP(C17,[2]FF!A:D,2,0))</f>
        <v>INGRESOS PROPIOS (IMPUESTOS, DERECHOS, PRODUCTOS Y APROVECHAMIENTOS)</v>
      </c>
      <c r="E17" s="5" t="s">
        <v>317</v>
      </c>
      <c r="F17" s="7" t="s">
        <v>22</v>
      </c>
      <c r="G17" s="8">
        <v>345001</v>
      </c>
      <c r="H17" s="9" t="str">
        <f>IF(G17&lt;=0,"",VLOOKUP(G17,[2]COG!A:H,2,0))</f>
        <v>Seguros</v>
      </c>
      <c r="I17" s="10">
        <v>9727</v>
      </c>
      <c r="J17" s="10">
        <v>9729</v>
      </c>
      <c r="K17" s="10">
        <v>9726</v>
      </c>
      <c r="L17" s="10">
        <v>140297</v>
      </c>
      <c r="M17" s="11">
        <f>SUM(Tabla1[[#This Row],[TRIMESTRE  I]:[TRIMESTRE IV]])</f>
        <v>169479</v>
      </c>
      <c r="N17" s="12" t="s">
        <v>17</v>
      </c>
      <c r="O17" s="13" t="s">
        <v>335</v>
      </c>
      <c r="P17" s="8" t="s">
        <v>318</v>
      </c>
    </row>
    <row r="18" spans="1:16" ht="37.5" customHeight="1" x14ac:dyDescent="0.2">
      <c r="A18" s="3">
        <v>201</v>
      </c>
      <c r="B18" s="4" t="s">
        <v>316</v>
      </c>
      <c r="C18" s="5">
        <v>101</v>
      </c>
      <c r="D18" s="6" t="str">
        <f>IF(C18&lt;=0,"",VLOOKUP(C18,[2]FF!A:D,2,0))</f>
        <v>INGRESOS PROPIOS (IMPUESTOS, DERECHOS, PRODUCTOS Y APROVECHAMIENTOS)</v>
      </c>
      <c r="E18" s="5" t="s">
        <v>317</v>
      </c>
      <c r="F18" s="7" t="s">
        <v>22</v>
      </c>
      <c r="G18" s="8">
        <v>347001</v>
      </c>
      <c r="H18" s="9" t="str">
        <f>IF(G18&lt;=0,"",VLOOKUP(G18,[2]COG!A:H,2,0))</f>
        <v>Fletes, maniobras y almacenaje</v>
      </c>
      <c r="I18" s="10">
        <v>3275</v>
      </c>
      <c r="J18" s="10">
        <v>3274</v>
      </c>
      <c r="K18" s="10">
        <v>3246</v>
      </c>
      <c r="L18" s="10">
        <v>3244</v>
      </c>
      <c r="M18" s="11">
        <f>SUM(Tabla1[[#This Row],[TRIMESTRE  I]:[TRIMESTRE IV]])</f>
        <v>13039</v>
      </c>
      <c r="N18" s="12"/>
      <c r="O18" s="12"/>
      <c r="P18" s="8"/>
    </row>
    <row r="19" spans="1:16" ht="37.5" customHeight="1" x14ac:dyDescent="0.2">
      <c r="A19" s="3">
        <v>201</v>
      </c>
      <c r="B19" s="4" t="s">
        <v>316</v>
      </c>
      <c r="C19" s="5">
        <v>101</v>
      </c>
      <c r="D19" s="6" t="str">
        <f>IF(C19&lt;=0,"",VLOOKUP(C19,[2]FF!A:D,2,0))</f>
        <v>INGRESOS PROPIOS (IMPUESTOS, DERECHOS, PRODUCTOS Y APROVECHAMIENTOS)</v>
      </c>
      <c r="E19" s="5" t="s">
        <v>317</v>
      </c>
      <c r="F19" s="7" t="s">
        <v>22</v>
      </c>
      <c r="G19" s="8">
        <v>351001</v>
      </c>
      <c r="H19" s="9" t="str">
        <f>IF(G19&lt;=0,"",VLOOKUP(G19,[2]COG!A:H,2,0))</f>
        <v>Mantenimiento de inmuebles</v>
      </c>
      <c r="I19" s="10">
        <v>4455</v>
      </c>
      <c r="J19" s="10">
        <v>4455</v>
      </c>
      <c r="K19" s="10">
        <v>4455</v>
      </c>
      <c r="L19" s="10">
        <v>4456</v>
      </c>
      <c r="M19" s="11">
        <f>SUM(Tabla1[[#This Row],[TRIMESTRE  I]:[TRIMESTRE IV]])</f>
        <v>17821</v>
      </c>
      <c r="N19" s="12"/>
      <c r="O19" s="12"/>
      <c r="P19" s="8"/>
    </row>
    <row r="20" spans="1:16" ht="37.5" customHeight="1" x14ac:dyDescent="0.2">
      <c r="A20" s="3">
        <v>201</v>
      </c>
      <c r="B20" s="4" t="s">
        <v>316</v>
      </c>
      <c r="C20" s="5">
        <v>101</v>
      </c>
      <c r="D20" s="24" t="str">
        <f>IF(C20&lt;=0,"",VLOOKUP(C20,[2]FF!A:D,2,0))</f>
        <v>INGRESOS PROPIOS (IMPUESTOS, DERECHOS, PRODUCTOS Y APROVECHAMIENTOS)</v>
      </c>
      <c r="E20" s="5" t="s">
        <v>317</v>
      </c>
      <c r="F20" s="7" t="s">
        <v>22</v>
      </c>
      <c r="G20" s="8">
        <v>352001</v>
      </c>
      <c r="H20" s="25" t="str">
        <f>IF(G20&lt;=0,"",VLOOKUP(G20,[2]COG!A:H,2,0))</f>
        <v>Mantenimiento de mobiliario y equipo</v>
      </c>
      <c r="I20" s="10">
        <v>654</v>
      </c>
      <c r="J20" s="10">
        <v>654</v>
      </c>
      <c r="K20" s="10">
        <v>654</v>
      </c>
      <c r="L20" s="10">
        <v>654</v>
      </c>
      <c r="M20" s="27">
        <f>SUM(Tabla1[[#This Row],[TRIMESTRE  I]:[TRIMESTRE IV]])</f>
        <v>2616</v>
      </c>
      <c r="N20" s="12"/>
      <c r="O20" s="12"/>
      <c r="P20" s="8"/>
    </row>
    <row r="21" spans="1:16" ht="37.5" customHeight="1" x14ac:dyDescent="0.2">
      <c r="A21" s="3">
        <v>201</v>
      </c>
      <c r="B21" s="4" t="s">
        <v>316</v>
      </c>
      <c r="C21" s="5">
        <v>101</v>
      </c>
      <c r="D21" s="24" t="str">
        <f>IF(C21&lt;=0,"",VLOOKUP(C21,[2]FF!A:D,2,0))</f>
        <v>INGRESOS PROPIOS (IMPUESTOS, DERECHOS, PRODUCTOS Y APROVECHAMIENTOS)</v>
      </c>
      <c r="E21" s="5" t="s">
        <v>317</v>
      </c>
      <c r="F21" s="7" t="s">
        <v>22</v>
      </c>
      <c r="G21" s="8">
        <v>355001</v>
      </c>
      <c r="H21" s="25" t="str">
        <f>IF(G21&lt;=0,"",VLOOKUP(G21,[2]COG!A:H,2,0))</f>
        <v>Mantto. y conservación de vehículos terrestres, aéreos, marítimos, lacustres y fluviales</v>
      </c>
      <c r="I21" s="10">
        <v>59621</v>
      </c>
      <c r="J21" s="10">
        <v>59625</v>
      </c>
      <c r="K21" s="10">
        <v>59625</v>
      </c>
      <c r="L21" s="10">
        <v>59625</v>
      </c>
      <c r="M21" s="27">
        <f>SUM(Tabla1[[#This Row],[TRIMESTRE  I]:[TRIMESTRE IV]])</f>
        <v>238496</v>
      </c>
      <c r="N21" s="12" t="s">
        <v>321</v>
      </c>
      <c r="O21" s="12" t="s">
        <v>334</v>
      </c>
      <c r="P21" s="8" t="s">
        <v>322</v>
      </c>
    </row>
    <row r="22" spans="1:16" ht="37.5" customHeight="1" x14ac:dyDescent="0.2">
      <c r="A22" s="3">
        <v>201</v>
      </c>
      <c r="B22" s="4" t="s">
        <v>316</v>
      </c>
      <c r="C22" s="5">
        <v>101</v>
      </c>
      <c r="D22" s="24" t="str">
        <f>IF(C22&lt;=0,"",VLOOKUP(C22,[2]FF!A:D,2,0))</f>
        <v>INGRESOS PROPIOS (IMPUESTOS, DERECHOS, PRODUCTOS Y APROVECHAMIENTOS)</v>
      </c>
      <c r="E22" s="5" t="s">
        <v>317</v>
      </c>
      <c r="F22" s="7" t="s">
        <v>22</v>
      </c>
      <c r="G22" s="8">
        <v>358001</v>
      </c>
      <c r="H22" s="25" t="str">
        <f>IF(G22&lt;=0,"",VLOOKUP(G22,[2]COG!A:H,2,0))</f>
        <v>Servicios de higiene y limpieza</v>
      </c>
      <c r="I22" s="10">
        <v>2543</v>
      </c>
      <c r="J22" s="10">
        <v>2540</v>
      </c>
      <c r="K22" s="10">
        <v>2521</v>
      </c>
      <c r="L22" s="10">
        <v>2521</v>
      </c>
      <c r="M22" s="27">
        <f>SUM(Tabla1[[#This Row],[TRIMESTRE  I]:[TRIMESTRE IV]])</f>
        <v>10125</v>
      </c>
      <c r="N22" s="12"/>
      <c r="O22" s="12"/>
      <c r="P22" s="8"/>
    </row>
    <row r="23" spans="1:16" ht="37.5" customHeight="1" x14ac:dyDescent="0.2">
      <c r="A23" s="3">
        <v>201</v>
      </c>
      <c r="B23" s="4" t="s">
        <v>316</v>
      </c>
      <c r="C23" s="5">
        <v>101</v>
      </c>
      <c r="D23" s="24" t="str">
        <f>IF(C23&lt;=0,"",VLOOKUP(C23,[2]FF!A:D,2,0))</f>
        <v>INGRESOS PROPIOS (IMPUESTOS, DERECHOS, PRODUCTOS Y APROVECHAMIENTOS)</v>
      </c>
      <c r="E23" s="5" t="s">
        <v>317</v>
      </c>
      <c r="F23" s="7" t="s">
        <v>22</v>
      </c>
      <c r="G23" s="8">
        <v>361002</v>
      </c>
      <c r="H23" s="25" t="str">
        <f>IF(G23&lt;=0,"",VLOOKUP(G23,[2]COG!A:H,2,0))</f>
        <v>Impresiones y publicaciones oficiales</v>
      </c>
      <c r="I23" s="10">
        <v>12386</v>
      </c>
      <c r="J23" s="10">
        <v>12379</v>
      </c>
      <c r="K23" s="10">
        <v>12277</v>
      </c>
      <c r="L23" s="10">
        <v>12274</v>
      </c>
      <c r="M23" s="27">
        <f>SUM(Tabla1[[#This Row],[TRIMESTRE  I]:[TRIMESTRE IV]])</f>
        <v>49316</v>
      </c>
      <c r="N23" s="12" t="s">
        <v>321</v>
      </c>
      <c r="O23" s="12" t="s">
        <v>334</v>
      </c>
      <c r="P23" s="8" t="s">
        <v>322</v>
      </c>
    </row>
    <row r="24" spans="1:16" ht="37.5" customHeight="1" x14ac:dyDescent="0.2">
      <c r="A24" s="3">
        <v>201</v>
      </c>
      <c r="B24" s="4" t="s">
        <v>316</v>
      </c>
      <c r="C24" s="5">
        <v>101</v>
      </c>
      <c r="D24" s="24" t="str">
        <f>IF(C24&lt;=0,"",VLOOKUP(C24,[2]FF!A:D,2,0))</f>
        <v>INGRESOS PROPIOS (IMPUESTOS, DERECHOS, PRODUCTOS Y APROVECHAMIENTOS)</v>
      </c>
      <c r="E24" s="5" t="s">
        <v>317</v>
      </c>
      <c r="F24" s="7" t="s">
        <v>22</v>
      </c>
      <c r="G24" s="8">
        <v>371001</v>
      </c>
      <c r="H24" s="25" t="str">
        <f>IF(G24&lt;=0,"",VLOOKUP(G24,[2]COG!A:H,2,0))</f>
        <v>Pasajes aéreos</v>
      </c>
      <c r="I24" s="10">
        <v>39532</v>
      </c>
      <c r="J24" s="10">
        <v>39523</v>
      </c>
      <c r="K24" s="10">
        <v>39306</v>
      </c>
      <c r="L24" s="10">
        <v>39303</v>
      </c>
      <c r="M24" s="27">
        <f>SUM(Tabla1[[#This Row],[TRIMESTRE  I]:[TRIMESTRE IV]])</f>
        <v>157664</v>
      </c>
      <c r="N24" s="12" t="s">
        <v>17</v>
      </c>
      <c r="O24" s="12" t="s">
        <v>335</v>
      </c>
      <c r="P24" s="8" t="s">
        <v>318</v>
      </c>
    </row>
    <row r="25" spans="1:16" ht="37.5" customHeight="1" x14ac:dyDescent="0.2">
      <c r="A25" s="3">
        <v>201</v>
      </c>
      <c r="B25" s="4" t="s">
        <v>316</v>
      </c>
      <c r="C25" s="5">
        <v>101</v>
      </c>
      <c r="D25" s="24" t="str">
        <f>IF(C25&lt;=0,"",VLOOKUP(C25,[2]FF!A:D,2,0))</f>
        <v>INGRESOS PROPIOS (IMPUESTOS, DERECHOS, PRODUCTOS Y APROVECHAMIENTOS)</v>
      </c>
      <c r="E25" s="5" t="s">
        <v>317</v>
      </c>
      <c r="F25" s="7" t="s">
        <v>22</v>
      </c>
      <c r="G25" s="8">
        <v>375001</v>
      </c>
      <c r="H25" s="25" t="str">
        <f>IF(G25&lt;=0,"",VLOOKUP(G25,[2]COG!A:H,2,0))</f>
        <v>Viáticos</v>
      </c>
      <c r="I25" s="10">
        <v>25246</v>
      </c>
      <c r="J25" s="10">
        <v>25248</v>
      </c>
      <c r="K25" s="10">
        <v>25248</v>
      </c>
      <c r="L25" s="10">
        <v>25241</v>
      </c>
      <c r="M25" s="27">
        <f>SUM(Tabla1[[#This Row],[TRIMESTRE  I]:[TRIMESTRE IV]])</f>
        <v>100983</v>
      </c>
      <c r="N25" s="12"/>
      <c r="O25" s="12"/>
      <c r="P25" s="8"/>
    </row>
    <row r="26" spans="1:16" ht="37.5" customHeight="1" x14ac:dyDescent="0.2">
      <c r="A26" s="3">
        <v>201</v>
      </c>
      <c r="B26" s="4" t="s">
        <v>316</v>
      </c>
      <c r="C26" s="5">
        <v>101</v>
      </c>
      <c r="D26" s="24" t="str">
        <f>IF(C26&lt;=0,"",VLOOKUP(C26,[2]FF!A:D,2,0))</f>
        <v>INGRESOS PROPIOS (IMPUESTOS, DERECHOS, PRODUCTOS Y APROVECHAMIENTOS)</v>
      </c>
      <c r="E26" s="5" t="s">
        <v>317</v>
      </c>
      <c r="F26" s="7" t="s">
        <v>22</v>
      </c>
      <c r="G26" s="8">
        <v>382002</v>
      </c>
      <c r="H26" s="25" t="str">
        <f>IF(G26&lt;=0,"",VLOOKUP(G26,[2]COG!A:H,2,0))</f>
        <v>Gastos de recepción, conmemorativos y de orden social</v>
      </c>
      <c r="I26" s="10">
        <v>86800</v>
      </c>
      <c r="J26" s="10">
        <v>86802</v>
      </c>
      <c r="K26" s="10">
        <v>86802</v>
      </c>
      <c r="L26" s="10">
        <v>86803</v>
      </c>
      <c r="M26" s="27">
        <f>SUM(Tabla1[[#This Row],[TRIMESTRE  I]:[TRIMESTRE IV]])</f>
        <v>347207</v>
      </c>
      <c r="N26" s="12"/>
      <c r="O26" s="12"/>
      <c r="P26" s="8"/>
    </row>
    <row r="27" spans="1:16" ht="37.5" customHeight="1" x14ac:dyDescent="0.2">
      <c r="A27" s="3">
        <v>201</v>
      </c>
      <c r="B27" s="4" t="s">
        <v>316</v>
      </c>
      <c r="C27" s="5">
        <v>101</v>
      </c>
      <c r="D27" s="24" t="str">
        <f>IF(C27&lt;=0,"",VLOOKUP(C27,[2]FF!A:D,2,0))</f>
        <v>INGRESOS PROPIOS (IMPUESTOS, DERECHOS, PRODUCTOS Y APROVECHAMIENTOS)</v>
      </c>
      <c r="E27" s="5" t="s">
        <v>323</v>
      </c>
      <c r="F27" s="7" t="s">
        <v>15</v>
      </c>
      <c r="G27" s="8">
        <v>211001</v>
      </c>
      <c r="H27" s="25" t="str">
        <f>IF(G27&lt;=0,"",VLOOKUP(G27,[2]COG!A:H,2,0))</f>
        <v>Material de oficina</v>
      </c>
      <c r="I27" s="10">
        <v>10333</v>
      </c>
      <c r="J27" s="10">
        <v>10330</v>
      </c>
      <c r="K27" s="10">
        <v>10328</v>
      </c>
      <c r="L27" s="10">
        <v>10327</v>
      </c>
      <c r="M27" s="27">
        <f>SUM(Tabla1[[#This Row],[TRIMESTRE  I]:[TRIMESTRE IV]])</f>
        <v>41318</v>
      </c>
      <c r="N27" s="12" t="s">
        <v>17</v>
      </c>
      <c r="O27" s="12" t="s">
        <v>334</v>
      </c>
      <c r="P27" s="8" t="s">
        <v>318</v>
      </c>
    </row>
    <row r="28" spans="1:16" ht="37.5" customHeight="1" x14ac:dyDescent="0.2">
      <c r="A28" s="3">
        <v>201</v>
      </c>
      <c r="B28" s="4" t="s">
        <v>316</v>
      </c>
      <c r="C28" s="5">
        <v>101</v>
      </c>
      <c r="D28" s="24" t="str">
        <f>IF(C28&lt;=0,"",VLOOKUP(C28,[2]FF!A:D,2,0))</f>
        <v>INGRESOS PROPIOS (IMPUESTOS, DERECHOS, PRODUCTOS Y APROVECHAMIENTOS)</v>
      </c>
      <c r="E28" s="5" t="s">
        <v>323</v>
      </c>
      <c r="F28" s="7" t="s">
        <v>15</v>
      </c>
      <c r="G28" s="8">
        <v>212001</v>
      </c>
      <c r="H28" s="25" t="str">
        <f>IF(G28&lt;=0,"",VLOOKUP(G28,[2]COG!A:H,2,0))</f>
        <v>Material y útiles de impresión</v>
      </c>
      <c r="I28" s="10">
        <v>13215</v>
      </c>
      <c r="J28" s="10">
        <v>13217</v>
      </c>
      <c r="K28" s="10">
        <v>13219</v>
      </c>
      <c r="L28" s="10">
        <v>13212</v>
      </c>
      <c r="M28" s="27">
        <f>SUM(Tabla1[[#This Row],[TRIMESTRE  I]:[TRIMESTRE IV]])</f>
        <v>52863</v>
      </c>
      <c r="N28" s="12" t="s">
        <v>319</v>
      </c>
      <c r="O28" s="12" t="s">
        <v>334</v>
      </c>
      <c r="P28" s="8" t="s">
        <v>320</v>
      </c>
    </row>
    <row r="29" spans="1:16" ht="37.5" customHeight="1" x14ac:dyDescent="0.2">
      <c r="A29" s="3">
        <v>201</v>
      </c>
      <c r="B29" s="4" t="s">
        <v>316</v>
      </c>
      <c r="C29" s="5">
        <v>101</v>
      </c>
      <c r="D29" s="24" t="str">
        <f>IF(C29&lt;=0,"",VLOOKUP(C29,[2]FF!A:D,2,0))</f>
        <v>INGRESOS PROPIOS (IMPUESTOS, DERECHOS, PRODUCTOS Y APROVECHAMIENTOS)</v>
      </c>
      <c r="E29" s="5" t="s">
        <v>323</v>
      </c>
      <c r="F29" s="7" t="s">
        <v>15</v>
      </c>
      <c r="G29" s="8">
        <v>216001</v>
      </c>
      <c r="H29" s="25" t="str">
        <f>IF(G29&lt;=0,"",VLOOKUP(G29,[2]COG!A:H,2,0))</f>
        <v>Material de limpieza</v>
      </c>
      <c r="I29" s="10">
        <v>2781</v>
      </c>
      <c r="J29" s="10">
        <v>2776</v>
      </c>
      <c r="K29" s="10">
        <v>2775</v>
      </c>
      <c r="L29" s="10">
        <v>2775</v>
      </c>
      <c r="M29" s="27">
        <f>SUM(Tabla1[[#This Row],[TRIMESTRE  I]:[TRIMESTRE IV]])</f>
        <v>11107</v>
      </c>
      <c r="N29" s="12" t="s">
        <v>17</v>
      </c>
      <c r="O29" s="12" t="s">
        <v>334</v>
      </c>
      <c r="P29" s="8" t="s">
        <v>318</v>
      </c>
    </row>
    <row r="30" spans="1:16" ht="37.5" customHeight="1" x14ac:dyDescent="0.2">
      <c r="A30" s="3">
        <v>201</v>
      </c>
      <c r="B30" s="4" t="s">
        <v>316</v>
      </c>
      <c r="C30" s="5">
        <v>101</v>
      </c>
      <c r="D30" s="24" t="str">
        <f>IF(C30&lt;=0,"",VLOOKUP(C30,[2]FF!A:D,2,0))</f>
        <v>INGRESOS PROPIOS (IMPUESTOS, DERECHOS, PRODUCTOS Y APROVECHAMIENTOS)</v>
      </c>
      <c r="E30" s="5" t="s">
        <v>323</v>
      </c>
      <c r="F30" s="7" t="s">
        <v>15</v>
      </c>
      <c r="G30" s="8">
        <v>221001</v>
      </c>
      <c r="H30" s="25" t="str">
        <f>IF(G30&lt;=0,"",VLOOKUP(G30,[2]COG!A:H,2,0))</f>
        <v>Alimentación de personas</v>
      </c>
      <c r="I30" s="10">
        <v>2733</v>
      </c>
      <c r="J30" s="10">
        <v>2737</v>
      </c>
      <c r="K30" s="10">
        <v>2739</v>
      </c>
      <c r="L30" s="10">
        <v>2743</v>
      </c>
      <c r="M30" s="27">
        <f>SUM(Tabla1[[#This Row],[TRIMESTRE  I]:[TRIMESTRE IV]])</f>
        <v>10952</v>
      </c>
      <c r="N30" s="12" t="s">
        <v>321</v>
      </c>
      <c r="O30" s="12" t="s">
        <v>334</v>
      </c>
      <c r="P30" s="8" t="s">
        <v>322</v>
      </c>
    </row>
    <row r="31" spans="1:16" ht="37.5" customHeight="1" x14ac:dyDescent="0.2">
      <c r="A31" s="3">
        <v>201</v>
      </c>
      <c r="B31" s="4" t="s">
        <v>316</v>
      </c>
      <c r="C31" s="5">
        <v>101</v>
      </c>
      <c r="D31" s="24" t="str">
        <f>IF(C31&lt;=0,"",VLOOKUP(C31,[2]FF!A:D,2,0))</f>
        <v>INGRESOS PROPIOS (IMPUESTOS, DERECHOS, PRODUCTOS Y APROVECHAMIENTOS)</v>
      </c>
      <c r="E31" s="5" t="s">
        <v>323</v>
      </c>
      <c r="F31" s="7" t="s">
        <v>15</v>
      </c>
      <c r="G31" s="8">
        <v>261001</v>
      </c>
      <c r="H31" s="25" t="str">
        <f>IF(G31&lt;=0,"",VLOOKUP(G31,[2]COG!A:H,2,0))</f>
        <v>Combustibles</v>
      </c>
      <c r="I31" s="10">
        <v>40149</v>
      </c>
      <c r="J31" s="10">
        <v>40149</v>
      </c>
      <c r="K31" s="10">
        <v>40152</v>
      </c>
      <c r="L31" s="10">
        <v>40148</v>
      </c>
      <c r="M31" s="27">
        <f>SUM(Tabla1[[#This Row],[TRIMESTRE  I]:[TRIMESTRE IV]])</f>
        <v>160598</v>
      </c>
      <c r="N31" s="12" t="s">
        <v>17</v>
      </c>
      <c r="O31" s="13" t="s">
        <v>335</v>
      </c>
      <c r="P31" s="8" t="s">
        <v>318</v>
      </c>
    </row>
    <row r="32" spans="1:16" ht="37.5" customHeight="1" x14ac:dyDescent="0.2">
      <c r="A32" s="3">
        <v>201</v>
      </c>
      <c r="B32" s="4" t="s">
        <v>316</v>
      </c>
      <c r="C32" s="5">
        <v>101</v>
      </c>
      <c r="D32" s="24" t="str">
        <f>IF(C32&lt;=0,"",VLOOKUP(C32,[2]FF!A:D,2,0))</f>
        <v>INGRESOS PROPIOS (IMPUESTOS, DERECHOS, PRODUCTOS Y APROVECHAMIENTOS)</v>
      </c>
      <c r="E32" s="5" t="s">
        <v>323</v>
      </c>
      <c r="F32" s="7" t="s">
        <v>15</v>
      </c>
      <c r="G32" s="8">
        <v>296001</v>
      </c>
      <c r="H32" s="25" t="str">
        <f>IF(G32&lt;=0,"",VLOOKUP(G32,[2]COG!A:H,2,0))</f>
        <v>Herramientas, refacciones y accesorios</v>
      </c>
      <c r="I32" s="10">
        <v>5379</v>
      </c>
      <c r="J32" s="10">
        <v>5379</v>
      </c>
      <c r="K32" s="10">
        <v>5379</v>
      </c>
      <c r="L32" s="10">
        <v>5377</v>
      </c>
      <c r="M32" s="27">
        <f>SUM(Tabla1[[#This Row],[TRIMESTRE  I]:[TRIMESTRE IV]])</f>
        <v>21514</v>
      </c>
      <c r="N32" s="12" t="s">
        <v>19</v>
      </c>
      <c r="O32" s="12" t="s">
        <v>334</v>
      </c>
      <c r="P32" s="8" t="s">
        <v>320</v>
      </c>
    </row>
    <row r="33" spans="1:16" ht="37.5" customHeight="1" x14ac:dyDescent="0.2">
      <c r="A33" s="3">
        <v>201</v>
      </c>
      <c r="B33" s="4" t="s">
        <v>316</v>
      </c>
      <c r="C33" s="5">
        <v>101</v>
      </c>
      <c r="D33" s="24" t="str">
        <f>IF(C33&lt;=0,"",VLOOKUP(C33,[2]FF!A:D,2,0))</f>
        <v>INGRESOS PROPIOS (IMPUESTOS, DERECHOS, PRODUCTOS Y APROVECHAMIENTOS)</v>
      </c>
      <c r="E33" s="5" t="s">
        <v>323</v>
      </c>
      <c r="F33" s="7" t="s">
        <v>22</v>
      </c>
      <c r="G33" s="8">
        <v>311001</v>
      </c>
      <c r="H33" s="25" t="str">
        <f>IF(G33&lt;=0,"",VLOOKUP(G33,[2]COG!A:H,2,0))</f>
        <v>Servicio de energía eléctrica</v>
      </c>
      <c r="I33" s="10">
        <v>29264</v>
      </c>
      <c r="J33" s="10">
        <v>29252</v>
      </c>
      <c r="K33" s="10">
        <v>183293</v>
      </c>
      <c r="L33" s="10">
        <v>117826</v>
      </c>
      <c r="M33" s="27">
        <f>SUM(Tabla1[[#This Row],[TRIMESTRE  I]:[TRIMESTRE IV]])</f>
        <v>359635</v>
      </c>
      <c r="N33" s="12"/>
      <c r="O33" s="12"/>
      <c r="P33" s="8"/>
    </row>
    <row r="34" spans="1:16" ht="37.5" customHeight="1" x14ac:dyDescent="0.2">
      <c r="A34" s="3">
        <v>201</v>
      </c>
      <c r="B34" s="4" t="s">
        <v>316</v>
      </c>
      <c r="C34" s="5">
        <v>101</v>
      </c>
      <c r="D34" s="24" t="str">
        <f>IF(C34&lt;=0,"",VLOOKUP(C34,[2]FF!A:D,2,0))</f>
        <v>INGRESOS PROPIOS (IMPUESTOS, DERECHOS, PRODUCTOS Y APROVECHAMIENTOS)</v>
      </c>
      <c r="E34" s="5" t="s">
        <v>323</v>
      </c>
      <c r="F34" s="7" t="s">
        <v>22</v>
      </c>
      <c r="G34" s="8">
        <v>313001</v>
      </c>
      <c r="H34" s="25" t="str">
        <f>IF(G34&lt;=0,"",VLOOKUP(G34,[2]COG!A:H,2,0))</f>
        <v>Servicio de agua potable</v>
      </c>
      <c r="I34" s="10">
        <v>38352</v>
      </c>
      <c r="J34" s="10">
        <v>38352</v>
      </c>
      <c r="K34" s="10">
        <v>38352</v>
      </c>
      <c r="L34" s="10">
        <v>38706</v>
      </c>
      <c r="M34" s="27">
        <f>SUM(Tabla1[[#This Row],[TRIMESTRE  I]:[TRIMESTRE IV]])</f>
        <v>153762</v>
      </c>
      <c r="N34" s="12"/>
      <c r="O34" s="12"/>
      <c r="P34" s="8"/>
    </row>
    <row r="35" spans="1:16" ht="37.5" customHeight="1" x14ac:dyDescent="0.2">
      <c r="A35" s="3">
        <v>201</v>
      </c>
      <c r="B35" s="4" t="s">
        <v>316</v>
      </c>
      <c r="C35" s="5">
        <v>101</v>
      </c>
      <c r="D35" s="24" t="str">
        <f>IF(C35&lt;=0,"",VLOOKUP(C35,[2]FF!A:D,2,0))</f>
        <v>INGRESOS PROPIOS (IMPUESTOS, DERECHOS, PRODUCTOS Y APROVECHAMIENTOS)</v>
      </c>
      <c r="E35" s="5" t="s">
        <v>323</v>
      </c>
      <c r="F35" s="7" t="s">
        <v>22</v>
      </c>
      <c r="G35" s="8">
        <v>314001</v>
      </c>
      <c r="H35" s="25" t="str">
        <f>IF(G35&lt;=0,"",VLOOKUP(G35,[2]COG!A:H,2,0))</f>
        <v>Servicio telefónico</v>
      </c>
      <c r="I35" s="10">
        <v>34932</v>
      </c>
      <c r="J35" s="10">
        <v>34936</v>
      </c>
      <c r="K35" s="10">
        <v>34932</v>
      </c>
      <c r="L35" s="10">
        <v>34940</v>
      </c>
      <c r="M35" s="27">
        <f>SUM(Tabla1[[#This Row],[TRIMESTRE  I]:[TRIMESTRE IV]])</f>
        <v>139740</v>
      </c>
      <c r="N35" s="12"/>
      <c r="O35" s="12"/>
      <c r="P35" s="8"/>
    </row>
    <row r="36" spans="1:16" ht="37.5" customHeight="1" x14ac:dyDescent="0.2">
      <c r="A36" s="3">
        <v>201</v>
      </c>
      <c r="B36" s="4" t="s">
        <v>316</v>
      </c>
      <c r="C36" s="5">
        <v>101</v>
      </c>
      <c r="D36" s="24" t="str">
        <f>IF(C36&lt;=0,"",VLOOKUP(C36,[2]FF!A:D,2,0))</f>
        <v>INGRESOS PROPIOS (IMPUESTOS, DERECHOS, PRODUCTOS Y APROVECHAMIENTOS)</v>
      </c>
      <c r="E36" s="5" t="s">
        <v>323</v>
      </c>
      <c r="F36" s="7" t="s">
        <v>22</v>
      </c>
      <c r="G36" s="8">
        <v>322001</v>
      </c>
      <c r="H36" s="25" t="str">
        <f>IF(G36&lt;=0,"",VLOOKUP(G36,[2]COG!A:H,2,0))</f>
        <v>Arrendamiento de edificios</v>
      </c>
      <c r="I36" s="10">
        <v>39091</v>
      </c>
      <c r="J36" s="10">
        <v>39091</v>
      </c>
      <c r="K36" s="10">
        <v>39091</v>
      </c>
      <c r="L36" s="10">
        <v>39091</v>
      </c>
      <c r="M36" s="27">
        <f>SUM(Tabla1[[#This Row],[TRIMESTRE  I]:[TRIMESTRE IV]])</f>
        <v>156364</v>
      </c>
      <c r="N36" s="12" t="s">
        <v>19</v>
      </c>
      <c r="O36" s="12" t="s">
        <v>335</v>
      </c>
      <c r="P36" s="8" t="s">
        <v>320</v>
      </c>
    </row>
    <row r="37" spans="1:16" ht="37.5" customHeight="1" x14ac:dyDescent="0.2">
      <c r="A37" s="3">
        <v>201</v>
      </c>
      <c r="B37" s="4" t="s">
        <v>316</v>
      </c>
      <c r="C37" s="5">
        <v>101</v>
      </c>
      <c r="D37" s="24" t="str">
        <f>IF(C37&lt;=0,"",VLOOKUP(C37,[2]FF!A:D,2,0))</f>
        <v>INGRESOS PROPIOS (IMPUESTOS, DERECHOS, PRODUCTOS Y APROVECHAMIENTOS)</v>
      </c>
      <c r="E37" s="5" t="s">
        <v>323</v>
      </c>
      <c r="F37" s="7" t="s">
        <v>22</v>
      </c>
      <c r="G37" s="8">
        <v>323001</v>
      </c>
      <c r="H37" s="25" t="str">
        <f>IF(G37&lt;=0,"",VLOOKUP(G37,[2]COG!A:H,2,0))</f>
        <v>Arrendamiento de maquinaria y equipo</v>
      </c>
      <c r="I37" s="10">
        <v>11112</v>
      </c>
      <c r="J37" s="10">
        <v>11114</v>
      </c>
      <c r="K37" s="10">
        <v>11117</v>
      </c>
      <c r="L37" s="10">
        <v>11121</v>
      </c>
      <c r="M37" s="27">
        <f>SUM(Tabla1[[#This Row],[TRIMESTRE  I]:[TRIMESTRE IV]])</f>
        <v>44464</v>
      </c>
      <c r="N37" s="12" t="s">
        <v>17</v>
      </c>
      <c r="O37" s="13" t="s">
        <v>335</v>
      </c>
      <c r="P37" s="8" t="s">
        <v>318</v>
      </c>
    </row>
    <row r="38" spans="1:16" ht="37.5" customHeight="1" x14ac:dyDescent="0.2">
      <c r="A38" s="3">
        <v>201</v>
      </c>
      <c r="B38" s="4" t="s">
        <v>316</v>
      </c>
      <c r="C38" s="5">
        <v>101</v>
      </c>
      <c r="D38" s="24" t="str">
        <f>IF(C38&lt;=0,"",VLOOKUP(C38,[2]FF!A:D,2,0))</f>
        <v>INGRESOS PROPIOS (IMPUESTOS, DERECHOS, PRODUCTOS Y APROVECHAMIENTOS)</v>
      </c>
      <c r="E38" s="5" t="s">
        <v>323</v>
      </c>
      <c r="F38" s="7" t="s">
        <v>22</v>
      </c>
      <c r="G38" s="8">
        <v>329001</v>
      </c>
      <c r="H38" s="25" t="str">
        <f>IF(G38&lt;=0,"",VLOOKUP(G38,[2]COG!A:H,2,0))</f>
        <v>Arrendamientos especiales</v>
      </c>
      <c r="I38" s="10">
        <v>1400</v>
      </c>
      <c r="J38" s="10">
        <v>1399</v>
      </c>
      <c r="K38" s="10">
        <v>1391</v>
      </c>
      <c r="L38" s="10">
        <v>1388</v>
      </c>
      <c r="M38" s="27">
        <f>SUM(Tabla1[[#This Row],[TRIMESTRE  I]:[TRIMESTRE IV]])</f>
        <v>5578</v>
      </c>
      <c r="N38" s="12"/>
      <c r="O38" s="12"/>
      <c r="P38" s="8"/>
    </row>
    <row r="39" spans="1:16" ht="37.5" customHeight="1" x14ac:dyDescent="0.2">
      <c r="A39" s="3">
        <v>201</v>
      </c>
      <c r="B39" s="4" t="s">
        <v>316</v>
      </c>
      <c r="C39" s="5">
        <v>101</v>
      </c>
      <c r="D39" s="24" t="str">
        <f>IF(C39&lt;=0,"",VLOOKUP(C39,[2]FF!A:D,2,0))</f>
        <v>INGRESOS PROPIOS (IMPUESTOS, DERECHOS, PRODUCTOS Y APROVECHAMIENTOS)</v>
      </c>
      <c r="E39" s="5" t="s">
        <v>323</v>
      </c>
      <c r="F39" s="7" t="s">
        <v>22</v>
      </c>
      <c r="G39" s="8">
        <v>345001</v>
      </c>
      <c r="H39" s="25" t="str">
        <f>IF(G39&lt;=0,"",VLOOKUP(G39,[2]COG!A:H,2,0))</f>
        <v>Seguros</v>
      </c>
      <c r="I39" s="10">
        <v>4809</v>
      </c>
      <c r="J39" s="10">
        <v>4809</v>
      </c>
      <c r="K39" s="10">
        <v>4809</v>
      </c>
      <c r="L39" s="10">
        <v>4809</v>
      </c>
      <c r="M39" s="27">
        <f>SUM(Tabla1[[#This Row],[TRIMESTRE  I]:[TRIMESTRE IV]])</f>
        <v>19236</v>
      </c>
      <c r="N39" s="12" t="s">
        <v>17</v>
      </c>
      <c r="O39" s="13" t="s">
        <v>335</v>
      </c>
      <c r="P39" s="8" t="s">
        <v>318</v>
      </c>
    </row>
    <row r="40" spans="1:16" ht="37.5" customHeight="1" x14ac:dyDescent="0.2">
      <c r="A40" s="3">
        <v>201</v>
      </c>
      <c r="B40" s="4" t="s">
        <v>316</v>
      </c>
      <c r="C40" s="5">
        <v>101</v>
      </c>
      <c r="D40" s="24" t="str">
        <f>IF(C40&lt;=0,"",VLOOKUP(C40,[2]FF!A:D,2,0))</f>
        <v>INGRESOS PROPIOS (IMPUESTOS, DERECHOS, PRODUCTOS Y APROVECHAMIENTOS)</v>
      </c>
      <c r="E40" s="5" t="s">
        <v>323</v>
      </c>
      <c r="F40" s="7" t="s">
        <v>22</v>
      </c>
      <c r="G40" s="8">
        <v>355001</v>
      </c>
      <c r="H40" s="25" t="str">
        <f>IF(G40&lt;=0,"",VLOOKUP(G40,[2]COG!A:H,2,0))</f>
        <v>Mantto. y conservación de vehículos terrestres, aéreos, marítimos, lacustres y fluviales</v>
      </c>
      <c r="I40" s="10">
        <v>34128</v>
      </c>
      <c r="J40" s="10">
        <v>34130</v>
      </c>
      <c r="K40" s="10">
        <v>34132</v>
      </c>
      <c r="L40" s="10">
        <v>34134</v>
      </c>
      <c r="M40" s="27">
        <f>SUM(Tabla1[[#This Row],[TRIMESTRE  I]:[TRIMESTRE IV]])</f>
        <v>136524</v>
      </c>
      <c r="N40" s="12" t="s">
        <v>321</v>
      </c>
      <c r="O40" s="12" t="s">
        <v>334</v>
      </c>
      <c r="P40" s="8" t="s">
        <v>322</v>
      </c>
    </row>
    <row r="41" spans="1:16" ht="37.5" customHeight="1" x14ac:dyDescent="0.2">
      <c r="A41" s="3">
        <v>201</v>
      </c>
      <c r="B41" s="4" t="s">
        <v>316</v>
      </c>
      <c r="C41" s="5">
        <v>101</v>
      </c>
      <c r="D41" s="24" t="str">
        <f>IF(C41&lt;=0,"",VLOOKUP(C41,[2]FF!A:D,2,0))</f>
        <v>INGRESOS PROPIOS (IMPUESTOS, DERECHOS, PRODUCTOS Y APROVECHAMIENTOS)</v>
      </c>
      <c r="E41" s="5" t="s">
        <v>323</v>
      </c>
      <c r="F41" s="7" t="s">
        <v>22</v>
      </c>
      <c r="G41" s="8">
        <v>361002</v>
      </c>
      <c r="H41" s="25" t="str">
        <f>IF(G41&lt;=0,"",VLOOKUP(G41,[2]COG!A:H,2,0))</f>
        <v>Impresiones y publicaciones oficiales</v>
      </c>
      <c r="I41" s="10">
        <v>7116</v>
      </c>
      <c r="J41" s="10">
        <v>7106</v>
      </c>
      <c r="K41" s="10">
        <v>7050</v>
      </c>
      <c r="L41" s="10">
        <v>7046</v>
      </c>
      <c r="M41" s="27">
        <f>SUM(Tabla1[[#This Row],[TRIMESTRE  I]:[TRIMESTRE IV]])</f>
        <v>28318</v>
      </c>
      <c r="N41" s="12" t="s">
        <v>321</v>
      </c>
      <c r="O41" s="12" t="s">
        <v>334</v>
      </c>
      <c r="P41" s="8" t="s">
        <v>322</v>
      </c>
    </row>
    <row r="42" spans="1:16" ht="37.5" customHeight="1" x14ac:dyDescent="0.2">
      <c r="A42" s="3">
        <v>201</v>
      </c>
      <c r="B42" s="4" t="s">
        <v>316</v>
      </c>
      <c r="C42" s="5">
        <v>101</v>
      </c>
      <c r="D42" s="24" t="str">
        <f>IF(C42&lt;=0,"",VLOOKUP(C42,[2]FF!A:D,2,0))</f>
        <v>INGRESOS PROPIOS (IMPUESTOS, DERECHOS, PRODUCTOS Y APROVECHAMIENTOS)</v>
      </c>
      <c r="E42" s="5" t="s">
        <v>323</v>
      </c>
      <c r="F42" s="7" t="s">
        <v>22</v>
      </c>
      <c r="G42" s="8">
        <v>361003</v>
      </c>
      <c r="H42" s="25" t="str">
        <f>IF(G42&lt;=0,"",VLOOKUP(G42,[2]COG!A:H,2,0))</f>
        <v>Rotulaciones oficiales</v>
      </c>
      <c r="I42" s="10">
        <v>2991</v>
      </c>
      <c r="J42" s="10">
        <v>2988</v>
      </c>
      <c r="K42" s="10">
        <v>2964</v>
      </c>
      <c r="L42" s="10">
        <v>2964</v>
      </c>
      <c r="M42" s="27">
        <f>SUM(Tabla1[[#This Row],[TRIMESTRE  I]:[TRIMESTRE IV]])</f>
        <v>11907</v>
      </c>
      <c r="N42" s="12"/>
      <c r="O42" s="12"/>
      <c r="P42" s="8"/>
    </row>
    <row r="43" spans="1:16" ht="37.5" customHeight="1" x14ac:dyDescent="0.2">
      <c r="A43" s="3">
        <v>201</v>
      </c>
      <c r="B43" s="4" t="s">
        <v>316</v>
      </c>
      <c r="C43" s="5">
        <v>101</v>
      </c>
      <c r="D43" s="24" t="str">
        <f>IF(C43&lt;=0,"",VLOOKUP(C43,[2]FF!A:D,2,0))</f>
        <v>INGRESOS PROPIOS (IMPUESTOS, DERECHOS, PRODUCTOS Y APROVECHAMIENTOS)</v>
      </c>
      <c r="E43" s="5" t="s">
        <v>323</v>
      </c>
      <c r="F43" s="7" t="s">
        <v>22</v>
      </c>
      <c r="G43" s="8">
        <v>371001</v>
      </c>
      <c r="H43" s="25" t="str">
        <f>IF(G43&lt;=0,"",VLOOKUP(G43,[2]COG!A:H,2,0))</f>
        <v>Pasajes aéreos</v>
      </c>
      <c r="I43" s="10">
        <v>7547</v>
      </c>
      <c r="J43" s="10">
        <v>7543</v>
      </c>
      <c r="K43" s="10">
        <v>7479</v>
      </c>
      <c r="L43" s="10">
        <v>7477</v>
      </c>
      <c r="M43" s="27">
        <f>SUM(Tabla1[[#This Row],[TRIMESTRE  I]:[TRIMESTRE IV]])</f>
        <v>30046</v>
      </c>
      <c r="N43" s="12" t="s">
        <v>17</v>
      </c>
      <c r="O43" s="12" t="s">
        <v>335</v>
      </c>
      <c r="P43" s="8" t="s">
        <v>318</v>
      </c>
    </row>
    <row r="44" spans="1:16" ht="37.5" customHeight="1" x14ac:dyDescent="0.2">
      <c r="A44" s="3">
        <v>201</v>
      </c>
      <c r="B44" s="4" t="s">
        <v>316</v>
      </c>
      <c r="C44" s="5">
        <v>101</v>
      </c>
      <c r="D44" s="24" t="str">
        <f>IF(C44&lt;=0,"",VLOOKUP(C44,[2]FF!A:D,2,0))</f>
        <v>INGRESOS PROPIOS (IMPUESTOS, DERECHOS, PRODUCTOS Y APROVECHAMIENTOS)</v>
      </c>
      <c r="E44" s="5" t="s">
        <v>323</v>
      </c>
      <c r="F44" s="7" t="s">
        <v>22</v>
      </c>
      <c r="G44" s="8">
        <v>375001</v>
      </c>
      <c r="H44" s="25" t="str">
        <f>IF(G44&lt;=0,"",VLOOKUP(G44,[2]COG!A:H,2,0))</f>
        <v>Viáticos</v>
      </c>
      <c r="I44" s="10">
        <v>54780</v>
      </c>
      <c r="J44" s="10">
        <v>54780</v>
      </c>
      <c r="K44" s="10">
        <v>54778</v>
      </c>
      <c r="L44" s="10">
        <v>54774</v>
      </c>
      <c r="M44" s="27">
        <f>SUM(Tabla1[[#This Row],[TRIMESTRE  I]:[TRIMESTRE IV]])</f>
        <v>219112</v>
      </c>
      <c r="N44" s="12"/>
      <c r="O44" s="12"/>
      <c r="P44" s="8"/>
    </row>
    <row r="45" spans="1:16" ht="37.5" customHeight="1" x14ac:dyDescent="0.2">
      <c r="A45" s="3">
        <v>201</v>
      </c>
      <c r="B45" s="4" t="s">
        <v>316</v>
      </c>
      <c r="C45" s="5">
        <v>101</v>
      </c>
      <c r="D45" s="24" t="str">
        <f>IF(C45&lt;=0,"",VLOOKUP(C45,[2]FF!A:D,2,0))</f>
        <v>INGRESOS PROPIOS (IMPUESTOS, DERECHOS, PRODUCTOS Y APROVECHAMIENTOS)</v>
      </c>
      <c r="E45" s="5" t="s">
        <v>323</v>
      </c>
      <c r="F45" s="7" t="s">
        <v>22</v>
      </c>
      <c r="G45" s="8">
        <v>382002</v>
      </c>
      <c r="H45" s="25" t="str">
        <f>IF(G45&lt;=0,"",VLOOKUP(G45,[2]COG!A:H,2,0))</f>
        <v>Gastos de recepción, conmemorativos y de orden social</v>
      </c>
      <c r="I45" s="10">
        <v>35271</v>
      </c>
      <c r="J45" s="10">
        <v>35271</v>
      </c>
      <c r="K45" s="10">
        <v>35271</v>
      </c>
      <c r="L45" s="10">
        <v>35280</v>
      </c>
      <c r="M45" s="27">
        <f>SUM(Tabla1[[#This Row],[TRIMESTRE  I]:[TRIMESTRE IV]])</f>
        <v>141093</v>
      </c>
      <c r="N45" s="12"/>
      <c r="O45" s="12"/>
      <c r="P45" s="8"/>
    </row>
    <row r="46" spans="1:16" ht="37.5" customHeight="1" x14ac:dyDescent="0.2">
      <c r="A46" s="3">
        <v>201</v>
      </c>
      <c r="B46" s="4" t="s">
        <v>316</v>
      </c>
      <c r="C46" s="5">
        <v>101</v>
      </c>
      <c r="D46" s="24" t="str">
        <f>IF(C46&lt;=0,"",VLOOKUP(C46,[2]FF!A:D,2,0))</f>
        <v>INGRESOS PROPIOS (IMPUESTOS, DERECHOS, PRODUCTOS Y APROVECHAMIENTOS)</v>
      </c>
      <c r="E46" s="5" t="s">
        <v>324</v>
      </c>
      <c r="F46" s="7" t="s">
        <v>15</v>
      </c>
      <c r="G46" s="8">
        <v>211001</v>
      </c>
      <c r="H46" s="25" t="str">
        <f>IF(G46&lt;=0,"",VLOOKUP(G46,[2]COG!A:H,2,0))</f>
        <v>Material de oficina</v>
      </c>
      <c r="I46" s="10">
        <v>13626</v>
      </c>
      <c r="J46" s="10">
        <v>13626</v>
      </c>
      <c r="K46" s="10">
        <v>13626</v>
      </c>
      <c r="L46" s="10">
        <v>13626</v>
      </c>
      <c r="M46" s="27">
        <f>SUM(Tabla1[[#This Row],[TRIMESTRE  I]:[TRIMESTRE IV]])</f>
        <v>54504</v>
      </c>
      <c r="N46" s="12" t="s">
        <v>17</v>
      </c>
      <c r="O46" s="12" t="s">
        <v>334</v>
      </c>
      <c r="P46" s="8" t="s">
        <v>318</v>
      </c>
    </row>
    <row r="47" spans="1:16" ht="37.5" customHeight="1" x14ac:dyDescent="0.2">
      <c r="A47" s="3">
        <v>201</v>
      </c>
      <c r="B47" s="4" t="s">
        <v>316</v>
      </c>
      <c r="C47" s="5">
        <v>101</v>
      </c>
      <c r="D47" s="24" t="str">
        <f>IF(C47&lt;=0,"",VLOOKUP(C47,[2]FF!A:D,2,0))</f>
        <v>INGRESOS PROPIOS (IMPUESTOS, DERECHOS, PRODUCTOS Y APROVECHAMIENTOS)</v>
      </c>
      <c r="E47" s="5" t="s">
        <v>325</v>
      </c>
      <c r="F47" s="7" t="s">
        <v>15</v>
      </c>
      <c r="G47" s="8">
        <v>212001</v>
      </c>
      <c r="H47" s="25" t="str">
        <f>IF(G47&lt;=0,"",VLOOKUP(G47,[2]COG!A:H,2,0))</f>
        <v>Material y útiles de impresión</v>
      </c>
      <c r="I47" s="10">
        <v>6357</v>
      </c>
      <c r="J47" s="10">
        <v>6359</v>
      </c>
      <c r="K47" s="10">
        <v>6360</v>
      </c>
      <c r="L47" s="10">
        <v>6360</v>
      </c>
      <c r="M47" s="27">
        <f>SUM(Tabla1[[#This Row],[TRIMESTRE  I]:[TRIMESTRE IV]])</f>
        <v>25436</v>
      </c>
      <c r="N47" s="12" t="s">
        <v>319</v>
      </c>
      <c r="O47" s="12" t="s">
        <v>334</v>
      </c>
      <c r="P47" s="8" t="s">
        <v>320</v>
      </c>
    </row>
    <row r="48" spans="1:16" ht="37.5" customHeight="1" x14ac:dyDescent="0.2">
      <c r="A48" s="3">
        <v>201</v>
      </c>
      <c r="B48" s="4" t="s">
        <v>316</v>
      </c>
      <c r="C48" s="5">
        <v>101</v>
      </c>
      <c r="D48" s="24" t="str">
        <f>IF(C48&lt;=0,"",VLOOKUP(C48,[2]FF!A:D,2,0))</f>
        <v>INGRESOS PROPIOS (IMPUESTOS, DERECHOS, PRODUCTOS Y APROVECHAMIENTOS)</v>
      </c>
      <c r="E48" s="5" t="s">
        <v>325</v>
      </c>
      <c r="F48" s="7" t="s">
        <v>15</v>
      </c>
      <c r="G48" s="8">
        <v>216001</v>
      </c>
      <c r="H48" s="25" t="str">
        <f>IF(G48&lt;=0,"",VLOOKUP(G48,[2]COG!A:H,2,0))</f>
        <v>Material de limpieza</v>
      </c>
      <c r="I48" s="10">
        <v>7278</v>
      </c>
      <c r="J48" s="10">
        <v>7277</v>
      </c>
      <c r="K48" s="10">
        <v>7276</v>
      </c>
      <c r="L48" s="10">
        <v>7277</v>
      </c>
      <c r="M48" s="27">
        <f>SUM(Tabla1[[#This Row],[TRIMESTRE  I]:[TRIMESTRE IV]])</f>
        <v>29108</v>
      </c>
      <c r="N48" s="12" t="s">
        <v>17</v>
      </c>
      <c r="O48" s="12" t="s">
        <v>334</v>
      </c>
      <c r="P48" s="8" t="s">
        <v>318</v>
      </c>
    </row>
    <row r="49" spans="1:16" ht="37.5" customHeight="1" x14ac:dyDescent="0.2">
      <c r="A49" s="3">
        <v>201</v>
      </c>
      <c r="B49" s="4" t="s">
        <v>316</v>
      </c>
      <c r="C49" s="5">
        <v>101</v>
      </c>
      <c r="D49" s="24" t="str">
        <f>IF(C49&lt;=0,"",VLOOKUP(C49,[2]FF!A:D,2,0))</f>
        <v>INGRESOS PROPIOS (IMPUESTOS, DERECHOS, PRODUCTOS Y APROVECHAMIENTOS)</v>
      </c>
      <c r="E49" s="5" t="s">
        <v>325</v>
      </c>
      <c r="F49" s="7" t="s">
        <v>15</v>
      </c>
      <c r="G49" s="8">
        <v>221001</v>
      </c>
      <c r="H49" s="25" t="str">
        <f>IF(G49&lt;=0,"",VLOOKUP(G49,[2]COG!A:H,2,0))</f>
        <v>Alimentación de personas</v>
      </c>
      <c r="I49" s="10">
        <v>13467</v>
      </c>
      <c r="J49" s="10">
        <v>13467</v>
      </c>
      <c r="K49" s="10">
        <v>13467</v>
      </c>
      <c r="L49" s="10">
        <v>13467</v>
      </c>
      <c r="M49" s="27">
        <f>SUM(Tabla1[[#This Row],[TRIMESTRE  I]:[TRIMESTRE IV]])</f>
        <v>53868</v>
      </c>
      <c r="N49" s="12" t="s">
        <v>321</v>
      </c>
      <c r="O49" s="12" t="s">
        <v>334</v>
      </c>
      <c r="P49" s="8" t="s">
        <v>322</v>
      </c>
    </row>
    <row r="50" spans="1:16" ht="37.5" customHeight="1" x14ac:dyDescent="0.2">
      <c r="A50" s="3">
        <v>201</v>
      </c>
      <c r="B50" s="4" t="s">
        <v>316</v>
      </c>
      <c r="C50" s="5">
        <v>101</v>
      </c>
      <c r="D50" s="24" t="str">
        <f>IF(C50&lt;=0,"",VLOOKUP(C50,[2]FF!A:D,2,0))</f>
        <v>INGRESOS PROPIOS (IMPUESTOS, DERECHOS, PRODUCTOS Y APROVECHAMIENTOS)</v>
      </c>
      <c r="E50" s="5" t="s">
        <v>325</v>
      </c>
      <c r="F50" s="7" t="s">
        <v>15</v>
      </c>
      <c r="G50" s="8">
        <v>246001</v>
      </c>
      <c r="H50" s="25" t="str">
        <f>IF(G50&lt;=0,"",VLOOKUP(G50,[2]COG!A:H,2,0))</f>
        <v>Material eléctrico</v>
      </c>
      <c r="I50" s="10">
        <v>294</v>
      </c>
      <c r="J50" s="10">
        <v>297</v>
      </c>
      <c r="K50" s="10">
        <v>294</v>
      </c>
      <c r="L50" s="10">
        <v>294</v>
      </c>
      <c r="M50" s="27">
        <f>SUM(Tabla1[[#This Row],[TRIMESTRE  I]:[TRIMESTRE IV]])</f>
        <v>1179</v>
      </c>
      <c r="N50" s="12"/>
      <c r="O50" s="12"/>
      <c r="P50" s="8"/>
    </row>
    <row r="51" spans="1:16" ht="37.5" customHeight="1" x14ac:dyDescent="0.2">
      <c r="A51" s="3">
        <v>201</v>
      </c>
      <c r="B51" s="4" t="s">
        <v>316</v>
      </c>
      <c r="C51" s="5">
        <v>101</v>
      </c>
      <c r="D51" s="24" t="str">
        <f>IF(C51&lt;=0,"",VLOOKUP(C51,[2]FF!A:D,2,0))</f>
        <v>INGRESOS PROPIOS (IMPUESTOS, DERECHOS, PRODUCTOS Y APROVECHAMIENTOS)</v>
      </c>
      <c r="E51" s="5" t="s">
        <v>325</v>
      </c>
      <c r="F51" s="7" t="s">
        <v>15</v>
      </c>
      <c r="G51" s="8">
        <v>261001</v>
      </c>
      <c r="H51" s="25" t="str">
        <f>IF(G51&lt;=0,"",VLOOKUP(G51,[2]COG!A:H,2,0))</f>
        <v>Combustibles</v>
      </c>
      <c r="I51" s="10">
        <v>73290</v>
      </c>
      <c r="J51" s="10">
        <v>73287</v>
      </c>
      <c r="K51" s="10">
        <v>73287</v>
      </c>
      <c r="L51" s="10">
        <v>73287</v>
      </c>
      <c r="M51" s="27">
        <f>SUM(Tabla1[[#This Row],[TRIMESTRE  I]:[TRIMESTRE IV]])</f>
        <v>293151</v>
      </c>
      <c r="N51" s="12" t="s">
        <v>17</v>
      </c>
      <c r="O51" s="13" t="s">
        <v>335</v>
      </c>
      <c r="P51" s="8" t="s">
        <v>318</v>
      </c>
    </row>
    <row r="52" spans="1:16" ht="37.5" customHeight="1" x14ac:dyDescent="0.2">
      <c r="A52" s="3">
        <v>201</v>
      </c>
      <c r="B52" s="4" t="s">
        <v>316</v>
      </c>
      <c r="C52" s="5">
        <v>101</v>
      </c>
      <c r="D52" s="24" t="str">
        <f>IF(C52&lt;=0,"",VLOOKUP(C52,[2]FF!A:D,2,0))</f>
        <v>INGRESOS PROPIOS (IMPUESTOS, DERECHOS, PRODUCTOS Y APROVECHAMIENTOS)</v>
      </c>
      <c r="E52" s="5" t="s">
        <v>325</v>
      </c>
      <c r="F52" s="7" t="s">
        <v>15</v>
      </c>
      <c r="G52" s="8">
        <v>271001</v>
      </c>
      <c r="H52" s="25" t="str">
        <f>IF(G52&lt;=0,"",VLOOKUP(G52,[2]COG!A:H,2,0))</f>
        <v>Ropa, vestuario y equipo</v>
      </c>
      <c r="I52" s="10">
        <v>0</v>
      </c>
      <c r="J52" s="10">
        <v>12153</v>
      </c>
      <c r="K52" s="10">
        <v>0</v>
      </c>
      <c r="L52" s="10">
        <v>12153</v>
      </c>
      <c r="M52" s="27">
        <f>SUM(Tabla1[[#This Row],[TRIMESTRE  I]:[TRIMESTRE IV]])</f>
        <v>24306</v>
      </c>
      <c r="N52" s="12" t="s">
        <v>17</v>
      </c>
      <c r="O52" s="12" t="s">
        <v>335</v>
      </c>
      <c r="P52" s="8" t="s">
        <v>318</v>
      </c>
    </row>
    <row r="53" spans="1:16" ht="37.5" customHeight="1" x14ac:dyDescent="0.2">
      <c r="A53" s="3">
        <v>201</v>
      </c>
      <c r="B53" s="4" t="s">
        <v>316</v>
      </c>
      <c r="C53" s="5">
        <v>101</v>
      </c>
      <c r="D53" s="24" t="str">
        <f>IF(C53&lt;=0,"",VLOOKUP(C53,[2]FF!A:D,2,0))</f>
        <v>INGRESOS PROPIOS (IMPUESTOS, DERECHOS, PRODUCTOS Y APROVECHAMIENTOS)</v>
      </c>
      <c r="E53" s="5" t="s">
        <v>325</v>
      </c>
      <c r="F53" s="7" t="s">
        <v>15</v>
      </c>
      <c r="G53" s="8">
        <v>296001</v>
      </c>
      <c r="H53" s="25" t="str">
        <f>IF(G53&lt;=0,"",VLOOKUP(G53,[2]COG!A:H,2,0))</f>
        <v>Herramientas, refacciones y accesorios</v>
      </c>
      <c r="I53" s="10">
        <v>4512</v>
      </c>
      <c r="J53" s="10">
        <v>4512</v>
      </c>
      <c r="K53" s="10">
        <v>4512</v>
      </c>
      <c r="L53" s="10">
        <v>4512</v>
      </c>
      <c r="M53" s="27">
        <f>SUM(Tabla1[[#This Row],[TRIMESTRE  I]:[TRIMESTRE IV]])</f>
        <v>18048</v>
      </c>
      <c r="N53" s="12" t="s">
        <v>19</v>
      </c>
      <c r="O53" s="12" t="s">
        <v>334</v>
      </c>
      <c r="P53" s="8" t="s">
        <v>320</v>
      </c>
    </row>
    <row r="54" spans="1:16" ht="37.5" customHeight="1" x14ac:dyDescent="0.2">
      <c r="A54" s="3">
        <v>201</v>
      </c>
      <c r="B54" s="4" t="s">
        <v>316</v>
      </c>
      <c r="C54" s="5">
        <v>101</v>
      </c>
      <c r="D54" s="24" t="str">
        <f>IF(C54&lt;=0,"",VLOOKUP(C54,[2]FF!A:D,2,0))</f>
        <v>INGRESOS PROPIOS (IMPUESTOS, DERECHOS, PRODUCTOS Y APROVECHAMIENTOS)</v>
      </c>
      <c r="E54" s="5" t="s">
        <v>325</v>
      </c>
      <c r="F54" s="7" t="s">
        <v>22</v>
      </c>
      <c r="G54" s="8">
        <v>311001</v>
      </c>
      <c r="H54" s="25" t="str">
        <f>IF(G54&lt;=0,"",VLOOKUP(G54,[2]COG!A:H,2,0))</f>
        <v>Servicio de energía eléctrica</v>
      </c>
      <c r="I54" s="10">
        <v>2847</v>
      </c>
      <c r="J54" s="10">
        <v>2847</v>
      </c>
      <c r="K54" s="10">
        <v>949</v>
      </c>
      <c r="L54" s="10">
        <v>1892</v>
      </c>
      <c r="M54" s="27">
        <f>SUM(Tabla1[[#This Row],[TRIMESTRE  I]:[TRIMESTRE IV]])</f>
        <v>8535</v>
      </c>
      <c r="N54" s="12"/>
      <c r="O54" s="12"/>
      <c r="P54" s="8"/>
    </row>
    <row r="55" spans="1:16" ht="37.5" customHeight="1" x14ac:dyDescent="0.2">
      <c r="A55" s="3">
        <v>201</v>
      </c>
      <c r="B55" s="4" t="s">
        <v>316</v>
      </c>
      <c r="C55" s="5">
        <v>101</v>
      </c>
      <c r="D55" s="24" t="str">
        <f>IF(C55&lt;=0,"",VLOOKUP(C55,[2]FF!A:D,2,0))</f>
        <v>INGRESOS PROPIOS (IMPUESTOS, DERECHOS, PRODUCTOS Y APROVECHAMIENTOS)</v>
      </c>
      <c r="E55" s="5" t="s">
        <v>325</v>
      </c>
      <c r="F55" s="7" t="s">
        <v>22</v>
      </c>
      <c r="G55" s="8">
        <v>313001</v>
      </c>
      <c r="H55" s="25" t="str">
        <f>IF(G55&lt;=0,"",VLOOKUP(G55,[2]COG!A:H,2,0))</f>
        <v>Servicio de agua potable</v>
      </c>
      <c r="I55" s="10">
        <v>12780</v>
      </c>
      <c r="J55" s="10">
        <v>12780</v>
      </c>
      <c r="K55" s="10">
        <v>12780</v>
      </c>
      <c r="L55" s="10">
        <v>12780</v>
      </c>
      <c r="M55" s="27">
        <f>SUM(Tabla1[[#This Row],[TRIMESTRE  I]:[TRIMESTRE IV]])</f>
        <v>51120</v>
      </c>
      <c r="N55" s="12"/>
      <c r="O55" s="12"/>
      <c r="P55" s="8"/>
    </row>
    <row r="56" spans="1:16" ht="37.5" customHeight="1" x14ac:dyDescent="0.2">
      <c r="A56" s="3">
        <v>201</v>
      </c>
      <c r="B56" s="4" t="s">
        <v>316</v>
      </c>
      <c r="C56" s="5">
        <v>101</v>
      </c>
      <c r="D56" s="24" t="str">
        <f>IF(C56&lt;=0,"",VLOOKUP(C56,[2]FF!A:D,2,0))</f>
        <v>INGRESOS PROPIOS (IMPUESTOS, DERECHOS, PRODUCTOS Y APROVECHAMIENTOS)</v>
      </c>
      <c r="E56" s="5" t="s">
        <v>325</v>
      </c>
      <c r="F56" s="7" t="s">
        <v>22</v>
      </c>
      <c r="G56" s="8">
        <v>314001</v>
      </c>
      <c r="H56" s="25" t="str">
        <f>IF(G56&lt;=0,"",VLOOKUP(G56,[2]COG!A:H,2,0))</f>
        <v>Servicio telefónico</v>
      </c>
      <c r="I56" s="10">
        <v>10944</v>
      </c>
      <c r="J56" s="10">
        <v>10950</v>
      </c>
      <c r="K56" s="10">
        <v>10944</v>
      </c>
      <c r="L56" s="10">
        <v>10944</v>
      </c>
      <c r="M56" s="27">
        <f>SUM(Tabla1[[#This Row],[TRIMESTRE  I]:[TRIMESTRE IV]])</f>
        <v>43782</v>
      </c>
      <c r="N56" s="12"/>
      <c r="O56" s="12"/>
      <c r="P56" s="8"/>
    </row>
    <row r="57" spans="1:16" ht="37.5" customHeight="1" x14ac:dyDescent="0.2">
      <c r="A57" s="3">
        <v>201</v>
      </c>
      <c r="B57" s="4" t="s">
        <v>316</v>
      </c>
      <c r="C57" s="5">
        <v>101</v>
      </c>
      <c r="D57" s="24" t="str">
        <f>IF(C57&lt;=0,"",VLOOKUP(C57,[2]FF!A:D,2,0))</f>
        <v>INGRESOS PROPIOS (IMPUESTOS, DERECHOS, PRODUCTOS Y APROVECHAMIENTOS)</v>
      </c>
      <c r="E57" s="5" t="s">
        <v>325</v>
      </c>
      <c r="F57" s="7" t="s">
        <v>22</v>
      </c>
      <c r="G57" s="8">
        <v>323001</v>
      </c>
      <c r="H57" s="25" t="str">
        <f>IF(G57&lt;=0,"",VLOOKUP(G57,[2]COG!A:H,2,0))</f>
        <v>Arrendamiento de maquinaria y equipo</v>
      </c>
      <c r="I57" s="10">
        <v>31416</v>
      </c>
      <c r="J57" s="10">
        <v>31392</v>
      </c>
      <c r="K57" s="10">
        <v>30950</v>
      </c>
      <c r="L57" s="10">
        <v>30946</v>
      </c>
      <c r="M57" s="27">
        <f>SUM(Tabla1[[#This Row],[TRIMESTRE  I]:[TRIMESTRE IV]])</f>
        <v>124704</v>
      </c>
      <c r="N57" s="12" t="s">
        <v>17</v>
      </c>
      <c r="O57" s="13" t="s">
        <v>335</v>
      </c>
      <c r="P57" s="8" t="s">
        <v>318</v>
      </c>
    </row>
    <row r="58" spans="1:16" ht="37.5" customHeight="1" x14ac:dyDescent="0.2">
      <c r="A58" s="3">
        <v>201</v>
      </c>
      <c r="B58" s="4" t="s">
        <v>316</v>
      </c>
      <c r="C58" s="5">
        <v>101</v>
      </c>
      <c r="D58" s="24" t="str">
        <f>IF(C58&lt;=0,"",VLOOKUP(C58,[2]FF!A:D,2,0))</f>
        <v>INGRESOS PROPIOS (IMPUESTOS, DERECHOS, PRODUCTOS Y APROVECHAMIENTOS)</v>
      </c>
      <c r="E58" s="5" t="s">
        <v>325</v>
      </c>
      <c r="F58" s="7" t="s">
        <v>22</v>
      </c>
      <c r="G58" s="8">
        <v>329001</v>
      </c>
      <c r="H58" s="25" t="str">
        <f>IF(G58&lt;=0,"",VLOOKUP(G58,[2]COG!A:H,2,0))</f>
        <v>Arrendamientos especiales</v>
      </c>
      <c r="I58" s="10">
        <v>1093</v>
      </c>
      <c r="J58" s="10">
        <v>1090</v>
      </c>
      <c r="K58" s="10">
        <v>1080</v>
      </c>
      <c r="L58" s="10">
        <v>1080</v>
      </c>
      <c r="M58" s="27">
        <f>SUM(Tabla1[[#This Row],[TRIMESTRE  I]:[TRIMESTRE IV]])</f>
        <v>4343</v>
      </c>
      <c r="N58" s="12"/>
      <c r="O58" s="12"/>
      <c r="P58" s="8"/>
    </row>
    <row r="59" spans="1:16" ht="37.5" customHeight="1" x14ac:dyDescent="0.2">
      <c r="A59" s="3">
        <v>201</v>
      </c>
      <c r="B59" s="4" t="s">
        <v>316</v>
      </c>
      <c r="C59" s="5">
        <v>101</v>
      </c>
      <c r="D59" s="24" t="str">
        <f>IF(C59&lt;=0,"",VLOOKUP(C59,[2]FF!A:D,2,0))</f>
        <v>INGRESOS PROPIOS (IMPUESTOS, DERECHOS, PRODUCTOS Y APROVECHAMIENTOS)</v>
      </c>
      <c r="E59" s="5" t="s">
        <v>325</v>
      </c>
      <c r="F59" s="7" t="s">
        <v>22</v>
      </c>
      <c r="G59" s="8">
        <v>345001</v>
      </c>
      <c r="H59" s="25" t="str">
        <f>IF(G59&lt;=0,"",VLOOKUP(G59,[2]COG!A:H,2,0))</f>
        <v>Seguros</v>
      </c>
      <c r="I59" s="10">
        <v>30000</v>
      </c>
      <c r="J59" s="10">
        <v>10000</v>
      </c>
      <c r="K59" s="10">
        <v>0</v>
      </c>
      <c r="L59" s="10"/>
      <c r="M59" s="27">
        <f>SUM(Tabla1[[#This Row],[TRIMESTRE  I]:[TRIMESTRE IV]])</f>
        <v>40000</v>
      </c>
      <c r="N59" s="12" t="s">
        <v>17</v>
      </c>
      <c r="O59" s="13" t="s">
        <v>335</v>
      </c>
      <c r="P59" s="8" t="s">
        <v>318</v>
      </c>
    </row>
    <row r="60" spans="1:16" ht="37.5" customHeight="1" x14ac:dyDescent="0.2">
      <c r="A60" s="3">
        <v>201</v>
      </c>
      <c r="B60" s="4" t="s">
        <v>316</v>
      </c>
      <c r="C60" s="5">
        <v>101</v>
      </c>
      <c r="D60" s="24" t="str">
        <f>IF(C60&lt;=0,"",VLOOKUP(C60,[2]FF!A:D,2,0))</f>
        <v>INGRESOS PROPIOS (IMPUESTOS, DERECHOS, PRODUCTOS Y APROVECHAMIENTOS)</v>
      </c>
      <c r="E60" s="5" t="s">
        <v>325</v>
      </c>
      <c r="F60" s="7" t="s">
        <v>22</v>
      </c>
      <c r="G60" s="8">
        <v>351001</v>
      </c>
      <c r="H60" s="25" t="str">
        <f>IF(G60&lt;=0,"",VLOOKUP(G60,[2]COG!A:H,2,0))</f>
        <v>Mantenimiento de inmuebles</v>
      </c>
      <c r="I60" s="10">
        <v>12110</v>
      </c>
      <c r="J60" s="10">
        <v>23971</v>
      </c>
      <c r="K60" s="10">
        <v>8935</v>
      </c>
      <c r="L60" s="10">
        <v>10623</v>
      </c>
      <c r="M60" s="27">
        <f>SUM(Tabla1[[#This Row],[TRIMESTRE  I]:[TRIMESTRE IV]])</f>
        <v>55639</v>
      </c>
      <c r="N60" s="12"/>
      <c r="O60" s="12"/>
      <c r="P60" s="8"/>
    </row>
    <row r="61" spans="1:16" ht="37.5" customHeight="1" x14ac:dyDescent="0.2">
      <c r="A61" s="3">
        <v>201</v>
      </c>
      <c r="B61" s="4" t="s">
        <v>316</v>
      </c>
      <c r="C61" s="5">
        <v>101</v>
      </c>
      <c r="D61" s="24" t="str">
        <f>IF(C61&lt;=0,"",VLOOKUP(C61,[2]FF!A:D,2,0))</f>
        <v>INGRESOS PROPIOS (IMPUESTOS, DERECHOS, PRODUCTOS Y APROVECHAMIENTOS)</v>
      </c>
      <c r="E61" s="5" t="s">
        <v>325</v>
      </c>
      <c r="F61" s="7" t="s">
        <v>22</v>
      </c>
      <c r="G61" s="8">
        <v>352001</v>
      </c>
      <c r="H61" s="25" t="str">
        <f>IF(G61&lt;=0,"",VLOOKUP(G61,[2]COG!A:H,2,0))</f>
        <v>Mantenimiento de mobiliario y equipo</v>
      </c>
      <c r="I61" s="10">
        <v>1275</v>
      </c>
      <c r="J61" s="10">
        <v>1275</v>
      </c>
      <c r="K61" s="10">
        <v>1275</v>
      </c>
      <c r="L61" s="10">
        <v>1275</v>
      </c>
      <c r="M61" s="27">
        <f>SUM(Tabla1[[#This Row],[TRIMESTRE  I]:[TRIMESTRE IV]])</f>
        <v>5100</v>
      </c>
      <c r="N61" s="12"/>
      <c r="O61" s="12"/>
      <c r="P61" s="8"/>
    </row>
    <row r="62" spans="1:16" ht="37.5" customHeight="1" x14ac:dyDescent="0.2">
      <c r="A62" s="3">
        <v>201</v>
      </c>
      <c r="B62" s="4" t="s">
        <v>316</v>
      </c>
      <c r="C62" s="5">
        <v>101</v>
      </c>
      <c r="D62" s="24" t="str">
        <f>IF(C62&lt;=0,"",VLOOKUP(C62,[2]FF!A:D,2,0))</f>
        <v>INGRESOS PROPIOS (IMPUESTOS, DERECHOS, PRODUCTOS Y APROVECHAMIENTOS)</v>
      </c>
      <c r="E62" s="5" t="s">
        <v>325</v>
      </c>
      <c r="F62" s="7" t="s">
        <v>22</v>
      </c>
      <c r="G62" s="8">
        <v>355001</v>
      </c>
      <c r="H62" s="25" t="str">
        <f>IF(G62&lt;=0,"",VLOOKUP(G62,[2]COG!A:H,2,0))</f>
        <v>Mantto. y conservación de vehículos terrestres, aéreos, marítimos, lacustres y fluviales</v>
      </c>
      <c r="I62" s="10">
        <v>44889</v>
      </c>
      <c r="J62" s="10">
        <v>44889</v>
      </c>
      <c r="K62" s="10">
        <v>44889</v>
      </c>
      <c r="L62" s="10">
        <v>44889</v>
      </c>
      <c r="M62" s="27">
        <f>SUM(Tabla1[[#This Row],[TRIMESTRE  I]:[TRIMESTRE IV]])</f>
        <v>179556</v>
      </c>
      <c r="N62" s="12" t="s">
        <v>321</v>
      </c>
      <c r="O62" s="12" t="s">
        <v>334</v>
      </c>
      <c r="P62" s="8" t="s">
        <v>322</v>
      </c>
    </row>
    <row r="63" spans="1:16" ht="37.5" customHeight="1" x14ac:dyDescent="0.2">
      <c r="A63" s="3">
        <v>201</v>
      </c>
      <c r="B63" s="4" t="s">
        <v>316</v>
      </c>
      <c r="C63" s="5">
        <v>101</v>
      </c>
      <c r="D63" s="24" t="str">
        <f>IF(C63&lt;=0,"",VLOOKUP(C63,[2]FF!A:D,2,0))</f>
        <v>INGRESOS PROPIOS (IMPUESTOS, DERECHOS, PRODUCTOS Y APROVECHAMIENTOS)</v>
      </c>
      <c r="E63" s="5" t="s">
        <v>325</v>
      </c>
      <c r="F63" s="7" t="s">
        <v>22</v>
      </c>
      <c r="G63" s="8">
        <v>371001</v>
      </c>
      <c r="H63" s="25" t="str">
        <f>IF(G63&lt;=0,"",VLOOKUP(G63,[2]COG!A:H,2,0))</f>
        <v>Pasajes aéreos</v>
      </c>
      <c r="I63" s="10">
        <v>1466</v>
      </c>
      <c r="J63" s="10">
        <v>1464</v>
      </c>
      <c r="K63" s="10">
        <v>1451</v>
      </c>
      <c r="L63" s="10">
        <v>1450</v>
      </c>
      <c r="M63" s="27">
        <f>SUM(Tabla1[[#This Row],[TRIMESTRE  I]:[TRIMESTRE IV]])</f>
        <v>5831</v>
      </c>
      <c r="N63" s="12" t="s">
        <v>17</v>
      </c>
      <c r="O63" s="12" t="s">
        <v>335</v>
      </c>
      <c r="P63" s="8" t="s">
        <v>318</v>
      </c>
    </row>
    <row r="64" spans="1:16" ht="37.5" customHeight="1" x14ac:dyDescent="0.2">
      <c r="A64" s="3">
        <v>201</v>
      </c>
      <c r="B64" s="4" t="s">
        <v>316</v>
      </c>
      <c r="C64" s="5">
        <v>101</v>
      </c>
      <c r="D64" s="24" t="str">
        <f>IF(C64&lt;=0,"",VLOOKUP(C64,[2]FF!A:D,2,0))</f>
        <v>INGRESOS PROPIOS (IMPUESTOS, DERECHOS, PRODUCTOS Y APROVECHAMIENTOS)</v>
      </c>
      <c r="E64" s="5" t="s">
        <v>325</v>
      </c>
      <c r="F64" s="7" t="s">
        <v>22</v>
      </c>
      <c r="G64" s="8">
        <v>375001</v>
      </c>
      <c r="H64" s="25" t="str">
        <f>IF(G64&lt;=0,"",VLOOKUP(G64,[2]COG!A:H,2,0))</f>
        <v>Viáticos</v>
      </c>
      <c r="I64" s="10">
        <v>6905</v>
      </c>
      <c r="J64" s="10">
        <v>6896</v>
      </c>
      <c r="K64" s="10">
        <v>6837</v>
      </c>
      <c r="L64" s="10">
        <v>6836</v>
      </c>
      <c r="M64" s="27">
        <f>SUM(Tabla1[[#This Row],[TRIMESTRE  I]:[TRIMESTRE IV]])</f>
        <v>27474</v>
      </c>
      <c r="N64" s="12"/>
      <c r="O64" s="12"/>
      <c r="P64" s="8"/>
    </row>
    <row r="65" spans="1:16" ht="37.5" customHeight="1" x14ac:dyDescent="0.2">
      <c r="A65" s="3">
        <v>201</v>
      </c>
      <c r="B65" s="4" t="s">
        <v>316</v>
      </c>
      <c r="C65" s="5">
        <v>101</v>
      </c>
      <c r="D65" s="24" t="str">
        <f>IF(C65&lt;=0,"",VLOOKUP(C65,[2]FF!A:D,2,0))</f>
        <v>INGRESOS PROPIOS (IMPUESTOS, DERECHOS, PRODUCTOS Y APROVECHAMIENTOS)</v>
      </c>
      <c r="E65" s="5" t="s">
        <v>325</v>
      </c>
      <c r="F65" s="7" t="s">
        <v>22</v>
      </c>
      <c r="G65" s="8">
        <v>382002</v>
      </c>
      <c r="H65" s="25" t="str">
        <f>IF(G65&lt;=0,"",VLOOKUP(G65,[2]COG!A:H,2,0))</f>
        <v>Gastos de recepción, conmemorativos y de orden social</v>
      </c>
      <c r="I65" s="10">
        <v>43929</v>
      </c>
      <c r="J65" s="10">
        <v>43926</v>
      </c>
      <c r="K65" s="10">
        <v>43926</v>
      </c>
      <c r="L65" s="10">
        <v>43926</v>
      </c>
      <c r="M65" s="27">
        <f>SUM(Tabla1[[#This Row],[TRIMESTRE  I]:[TRIMESTRE IV]])</f>
        <v>175707</v>
      </c>
      <c r="N65" s="12"/>
      <c r="O65" s="12"/>
      <c r="P65" s="8"/>
    </row>
    <row r="66" spans="1:16" ht="37.5" customHeight="1" x14ac:dyDescent="0.2">
      <c r="A66" s="3">
        <v>201</v>
      </c>
      <c r="B66" s="4" t="s">
        <v>316</v>
      </c>
      <c r="C66" s="5">
        <v>101</v>
      </c>
      <c r="D66" s="24" t="str">
        <f>IF(C66&lt;=0,"",VLOOKUP(C66,[2]FF!A:D,2,0))</f>
        <v>INGRESOS PROPIOS (IMPUESTOS, DERECHOS, PRODUCTOS Y APROVECHAMIENTOS)</v>
      </c>
      <c r="E66" s="5" t="s">
        <v>326</v>
      </c>
      <c r="F66" s="7" t="s">
        <v>15</v>
      </c>
      <c r="G66" s="8">
        <v>211001</v>
      </c>
      <c r="H66" s="25" t="str">
        <f>IF(G66&lt;=0,"",VLOOKUP(G66,[2]COG!A:H,2,0))</f>
        <v>Material de oficina</v>
      </c>
      <c r="I66" s="10">
        <v>705</v>
      </c>
      <c r="J66" s="10">
        <v>705</v>
      </c>
      <c r="K66" s="10">
        <v>705</v>
      </c>
      <c r="L66" s="10">
        <v>705</v>
      </c>
      <c r="M66" s="27">
        <f>SUM(Tabla1[[#This Row],[TRIMESTRE  I]:[TRIMESTRE IV]])</f>
        <v>2820</v>
      </c>
      <c r="N66" s="12" t="s">
        <v>17</v>
      </c>
      <c r="O66" s="12" t="s">
        <v>334</v>
      </c>
      <c r="P66" s="8" t="s">
        <v>318</v>
      </c>
    </row>
    <row r="67" spans="1:16" ht="37.5" customHeight="1" x14ac:dyDescent="0.2">
      <c r="A67" s="3">
        <v>201</v>
      </c>
      <c r="B67" s="4" t="s">
        <v>316</v>
      </c>
      <c r="C67" s="5">
        <v>101</v>
      </c>
      <c r="D67" s="24" t="str">
        <f>IF(C67&lt;=0,"",VLOOKUP(C67,[2]FF!A:D,2,0))</f>
        <v>INGRESOS PROPIOS (IMPUESTOS, DERECHOS, PRODUCTOS Y APROVECHAMIENTOS)</v>
      </c>
      <c r="E67" s="5" t="s">
        <v>326</v>
      </c>
      <c r="F67" s="7" t="s">
        <v>15</v>
      </c>
      <c r="G67" s="8">
        <v>212001</v>
      </c>
      <c r="H67" s="25" t="str">
        <f>IF(G67&lt;=0,"",VLOOKUP(G67,[2]COG!A:H,2,0))</f>
        <v>Material y útiles de impresión</v>
      </c>
      <c r="I67" s="10">
        <v>705</v>
      </c>
      <c r="J67" s="10">
        <v>705</v>
      </c>
      <c r="K67" s="10">
        <v>705</v>
      </c>
      <c r="L67" s="10">
        <v>705</v>
      </c>
      <c r="M67" s="27">
        <f>SUM(Tabla1[[#This Row],[TRIMESTRE  I]:[TRIMESTRE IV]])</f>
        <v>2820</v>
      </c>
      <c r="N67" s="12" t="s">
        <v>319</v>
      </c>
      <c r="O67" s="12" t="s">
        <v>334</v>
      </c>
      <c r="P67" s="8" t="s">
        <v>320</v>
      </c>
    </row>
    <row r="68" spans="1:16" ht="37.5" customHeight="1" x14ac:dyDescent="0.2">
      <c r="A68" s="3">
        <v>201</v>
      </c>
      <c r="B68" s="4" t="s">
        <v>316</v>
      </c>
      <c r="C68" s="5">
        <v>101</v>
      </c>
      <c r="D68" s="24" t="str">
        <f>IF(C68&lt;=0,"",VLOOKUP(C68,[2]FF!A:D,2,0))</f>
        <v>INGRESOS PROPIOS (IMPUESTOS, DERECHOS, PRODUCTOS Y APROVECHAMIENTOS)</v>
      </c>
      <c r="E68" s="5" t="s">
        <v>326</v>
      </c>
      <c r="F68" s="7" t="s">
        <v>15</v>
      </c>
      <c r="G68" s="8">
        <v>216001</v>
      </c>
      <c r="H68" s="25" t="str">
        <f>IF(G68&lt;=0,"",VLOOKUP(G68,[2]COG!A:H,2,0))</f>
        <v>Material de limpieza</v>
      </c>
      <c r="I68" s="10">
        <v>1657</v>
      </c>
      <c r="J68" s="10">
        <v>1658</v>
      </c>
      <c r="K68" s="10">
        <v>1658</v>
      </c>
      <c r="L68" s="10">
        <v>1657</v>
      </c>
      <c r="M68" s="27">
        <f>SUM(Tabla1[[#This Row],[TRIMESTRE  I]:[TRIMESTRE IV]])</f>
        <v>6630</v>
      </c>
      <c r="N68" s="12" t="s">
        <v>17</v>
      </c>
      <c r="O68" s="12" t="s">
        <v>334</v>
      </c>
      <c r="P68" s="8" t="s">
        <v>318</v>
      </c>
    </row>
    <row r="69" spans="1:16" ht="37.5" customHeight="1" x14ac:dyDescent="0.2">
      <c r="A69" s="3">
        <v>201</v>
      </c>
      <c r="B69" s="4" t="s">
        <v>316</v>
      </c>
      <c r="C69" s="5">
        <v>101</v>
      </c>
      <c r="D69" s="24" t="str">
        <f>IF(C69&lt;=0,"",VLOOKUP(C69,[2]FF!A:D,2,0))</f>
        <v>INGRESOS PROPIOS (IMPUESTOS, DERECHOS, PRODUCTOS Y APROVECHAMIENTOS)</v>
      </c>
      <c r="E69" s="5" t="s">
        <v>326</v>
      </c>
      <c r="F69" s="7" t="s">
        <v>15</v>
      </c>
      <c r="G69" s="8">
        <v>261001</v>
      </c>
      <c r="H69" s="25" t="str">
        <f>IF(G69&lt;=0,"",VLOOKUP(G69,[2]COG!A:H,2,0))</f>
        <v>Combustibles</v>
      </c>
      <c r="I69" s="10">
        <v>16032</v>
      </c>
      <c r="J69" s="10">
        <v>16032</v>
      </c>
      <c r="K69" s="10">
        <v>16032</v>
      </c>
      <c r="L69" s="10">
        <v>16031</v>
      </c>
      <c r="M69" s="27">
        <f>SUM(Tabla1[[#This Row],[TRIMESTRE  I]:[TRIMESTRE IV]])</f>
        <v>64127</v>
      </c>
      <c r="N69" s="12" t="s">
        <v>17</v>
      </c>
      <c r="O69" s="13" t="s">
        <v>335</v>
      </c>
      <c r="P69" s="8" t="s">
        <v>318</v>
      </c>
    </row>
    <row r="70" spans="1:16" ht="37.5" customHeight="1" x14ac:dyDescent="0.2">
      <c r="A70" s="3">
        <v>201</v>
      </c>
      <c r="B70" s="4" t="s">
        <v>316</v>
      </c>
      <c r="C70" s="5">
        <v>101</v>
      </c>
      <c r="D70" s="24" t="str">
        <f>IF(C70&lt;=0,"",VLOOKUP(C70,[2]FF!A:D,2,0))</f>
        <v>INGRESOS PROPIOS (IMPUESTOS, DERECHOS, PRODUCTOS Y APROVECHAMIENTOS)</v>
      </c>
      <c r="E70" s="5" t="s">
        <v>326</v>
      </c>
      <c r="F70" s="7" t="s">
        <v>15</v>
      </c>
      <c r="G70" s="8">
        <v>296001</v>
      </c>
      <c r="H70" s="25" t="str">
        <f>IF(G70&lt;=0,"",VLOOKUP(G70,[2]COG!A:H,2,0))</f>
        <v>Herramientas, refacciones y accesorios</v>
      </c>
      <c r="I70" s="10">
        <v>1305</v>
      </c>
      <c r="J70" s="10">
        <v>1305</v>
      </c>
      <c r="K70" s="10">
        <v>1305</v>
      </c>
      <c r="L70" s="10">
        <v>1301</v>
      </c>
      <c r="M70" s="27">
        <f>SUM(Tabla1[[#This Row],[TRIMESTRE  I]:[TRIMESTRE IV]])</f>
        <v>5216</v>
      </c>
      <c r="N70" s="12" t="s">
        <v>19</v>
      </c>
      <c r="O70" s="12" t="s">
        <v>334</v>
      </c>
      <c r="P70" s="8" t="s">
        <v>320</v>
      </c>
    </row>
    <row r="71" spans="1:16" ht="37.5" customHeight="1" x14ac:dyDescent="0.2">
      <c r="A71" s="3">
        <v>201</v>
      </c>
      <c r="B71" s="4" t="s">
        <v>316</v>
      </c>
      <c r="C71" s="5">
        <v>101</v>
      </c>
      <c r="D71" s="24" t="str">
        <f>IF(C71&lt;=0,"",VLOOKUP(C71,[2]FF!A:D,2,0))</f>
        <v>INGRESOS PROPIOS (IMPUESTOS, DERECHOS, PRODUCTOS Y APROVECHAMIENTOS)</v>
      </c>
      <c r="E71" s="5" t="s">
        <v>326</v>
      </c>
      <c r="F71" s="7" t="s">
        <v>22</v>
      </c>
      <c r="G71" s="8">
        <v>355001</v>
      </c>
      <c r="H71" s="25" t="str">
        <f>IF(G71&lt;=0,"",VLOOKUP(G71,[2]COG!A:H,2,0))</f>
        <v>Mantto. y conservación de vehículos terrestres, aéreos, marítimos, lacustres y fluviales</v>
      </c>
      <c r="I71" s="10">
        <v>11400</v>
      </c>
      <c r="J71" s="10">
        <v>11404</v>
      </c>
      <c r="K71" s="10">
        <v>11400</v>
      </c>
      <c r="L71" s="10">
        <v>11400</v>
      </c>
      <c r="M71" s="27">
        <f>SUM(Tabla1[[#This Row],[TRIMESTRE  I]:[TRIMESTRE IV]])</f>
        <v>45604</v>
      </c>
      <c r="N71" s="12" t="s">
        <v>321</v>
      </c>
      <c r="O71" s="12" t="s">
        <v>334</v>
      </c>
      <c r="P71" s="8" t="s">
        <v>322</v>
      </c>
    </row>
    <row r="72" spans="1:16" ht="37.5" customHeight="1" x14ac:dyDescent="0.2">
      <c r="A72" s="3">
        <v>201</v>
      </c>
      <c r="B72" s="4" t="s">
        <v>316</v>
      </c>
      <c r="C72" s="5">
        <v>101</v>
      </c>
      <c r="D72" s="24" t="str">
        <f>IF(C72&lt;=0,"",VLOOKUP(C72,[2]FF!A:D,2,0))</f>
        <v>INGRESOS PROPIOS (IMPUESTOS, DERECHOS, PRODUCTOS Y APROVECHAMIENTOS)</v>
      </c>
      <c r="E72" s="5" t="s">
        <v>326</v>
      </c>
      <c r="F72" s="7" t="s">
        <v>22</v>
      </c>
      <c r="G72" s="8">
        <v>371001</v>
      </c>
      <c r="H72" s="25" t="str">
        <f>IF(G72&lt;=0,"",VLOOKUP(G72,[2]COG!A:H,2,0))</f>
        <v>Pasajes aéreos</v>
      </c>
      <c r="I72" s="10">
        <v>2892</v>
      </c>
      <c r="J72" s="10">
        <v>2892</v>
      </c>
      <c r="K72" s="10">
        <v>2895</v>
      </c>
      <c r="L72" s="10">
        <v>2892</v>
      </c>
      <c r="M72" s="27">
        <f>SUM(Tabla1[[#This Row],[TRIMESTRE  I]:[TRIMESTRE IV]])</f>
        <v>11571</v>
      </c>
      <c r="N72" s="12" t="s">
        <v>17</v>
      </c>
      <c r="O72" s="12" t="s">
        <v>335</v>
      </c>
      <c r="P72" s="8" t="s">
        <v>318</v>
      </c>
    </row>
    <row r="73" spans="1:16" ht="37.5" customHeight="1" x14ac:dyDescent="0.2">
      <c r="A73" s="3">
        <v>201</v>
      </c>
      <c r="B73" s="4" t="s">
        <v>316</v>
      </c>
      <c r="C73" s="5">
        <v>101</v>
      </c>
      <c r="D73" s="24" t="str">
        <f>IF(C73&lt;=0,"",VLOOKUP(C73,[2]FF!A:D,2,0))</f>
        <v>INGRESOS PROPIOS (IMPUESTOS, DERECHOS, PRODUCTOS Y APROVECHAMIENTOS)</v>
      </c>
      <c r="E73" s="5" t="s">
        <v>326</v>
      </c>
      <c r="F73" s="7" t="s">
        <v>22</v>
      </c>
      <c r="G73" s="8">
        <v>375001</v>
      </c>
      <c r="H73" s="25" t="str">
        <f>IF(G73&lt;=0,"",VLOOKUP(G73,[2]COG!A:H,2,0))</f>
        <v>Viáticos</v>
      </c>
      <c r="I73" s="10">
        <v>1611</v>
      </c>
      <c r="J73" s="10">
        <v>1611</v>
      </c>
      <c r="K73" s="10">
        <v>1611</v>
      </c>
      <c r="L73" s="10">
        <v>1609</v>
      </c>
      <c r="M73" s="27">
        <f>SUM(Tabla1[[#This Row],[TRIMESTRE  I]:[TRIMESTRE IV]])</f>
        <v>6442</v>
      </c>
      <c r="N73" s="12"/>
      <c r="O73" s="12"/>
      <c r="P73" s="8"/>
    </row>
    <row r="74" spans="1:16" ht="37.5" customHeight="1" x14ac:dyDescent="0.2">
      <c r="A74" s="3">
        <v>201</v>
      </c>
      <c r="B74" s="4" t="s">
        <v>316</v>
      </c>
      <c r="C74" s="5">
        <v>101</v>
      </c>
      <c r="D74" s="24" t="str">
        <f>IF(C74&lt;=0,"",VLOOKUP(C74,[2]FF!A:D,2,0))</f>
        <v>INGRESOS PROPIOS (IMPUESTOS, DERECHOS, PRODUCTOS Y APROVECHAMIENTOS)</v>
      </c>
      <c r="E74" s="5" t="s">
        <v>327</v>
      </c>
      <c r="F74" s="7" t="s">
        <v>15</v>
      </c>
      <c r="G74" s="8">
        <v>211001</v>
      </c>
      <c r="H74" s="25" t="str">
        <f>IF(G74&lt;=0,"",VLOOKUP(G74,[2]COG!A:H,2,0))</f>
        <v>Material de oficina</v>
      </c>
      <c r="I74" s="10">
        <v>1617</v>
      </c>
      <c r="J74" s="10">
        <v>1617</v>
      </c>
      <c r="K74" s="10">
        <v>1617</v>
      </c>
      <c r="L74" s="10">
        <v>1614</v>
      </c>
      <c r="M74" s="27">
        <f>SUM(Tabla1[[#This Row],[TRIMESTRE  I]:[TRIMESTRE IV]])</f>
        <v>6465</v>
      </c>
      <c r="N74" s="12" t="s">
        <v>17</v>
      </c>
      <c r="O74" s="12" t="s">
        <v>334</v>
      </c>
      <c r="P74" s="8" t="s">
        <v>318</v>
      </c>
    </row>
    <row r="75" spans="1:16" ht="37.5" customHeight="1" x14ac:dyDescent="0.2">
      <c r="A75" s="3">
        <v>201</v>
      </c>
      <c r="B75" s="4" t="s">
        <v>316</v>
      </c>
      <c r="C75" s="5">
        <v>101</v>
      </c>
      <c r="D75" s="24" t="str">
        <f>IF(C75&lt;=0,"",VLOOKUP(C75,[2]FF!A:D,2,0))</f>
        <v>INGRESOS PROPIOS (IMPUESTOS, DERECHOS, PRODUCTOS Y APROVECHAMIENTOS)</v>
      </c>
      <c r="E75" s="5" t="s">
        <v>327</v>
      </c>
      <c r="F75" s="7" t="s">
        <v>15</v>
      </c>
      <c r="G75" s="8">
        <v>216001</v>
      </c>
      <c r="H75" s="25" t="str">
        <f>IF(G75&lt;=0,"",VLOOKUP(G75,[2]COG!A:H,2,0))</f>
        <v>Material de limpieza</v>
      </c>
      <c r="I75" s="10">
        <v>3016</v>
      </c>
      <c r="J75" s="10">
        <v>3015</v>
      </c>
      <c r="K75" s="10">
        <v>3018</v>
      </c>
      <c r="L75" s="10">
        <v>3013</v>
      </c>
      <c r="M75" s="27">
        <f>SUM(Tabla1[[#This Row],[TRIMESTRE  I]:[TRIMESTRE IV]])</f>
        <v>12062</v>
      </c>
      <c r="N75" s="12" t="s">
        <v>17</v>
      </c>
      <c r="O75" s="12" t="s">
        <v>334</v>
      </c>
      <c r="P75" s="8" t="s">
        <v>318</v>
      </c>
    </row>
    <row r="76" spans="1:16" ht="37.5" customHeight="1" x14ac:dyDescent="0.2">
      <c r="A76" s="3">
        <v>201</v>
      </c>
      <c r="B76" s="4" t="s">
        <v>316</v>
      </c>
      <c r="C76" s="5">
        <v>101</v>
      </c>
      <c r="D76" s="24" t="str">
        <f>IF(C76&lt;=0,"",VLOOKUP(C76,[2]FF!A:D,2,0))</f>
        <v>INGRESOS PROPIOS (IMPUESTOS, DERECHOS, PRODUCTOS Y APROVECHAMIENTOS)</v>
      </c>
      <c r="E76" s="5" t="s">
        <v>327</v>
      </c>
      <c r="F76" s="7" t="s">
        <v>15</v>
      </c>
      <c r="G76" s="8">
        <v>221001</v>
      </c>
      <c r="H76" s="25" t="str">
        <f>IF(G76&lt;=0,"",VLOOKUP(G76,[2]COG!A:H,2,0))</f>
        <v>Alimentación de personas</v>
      </c>
      <c r="I76" s="10">
        <v>2832</v>
      </c>
      <c r="J76" s="10">
        <v>2832</v>
      </c>
      <c r="K76" s="10">
        <v>2831</v>
      </c>
      <c r="L76" s="10">
        <v>2829</v>
      </c>
      <c r="M76" s="27">
        <f>SUM(Tabla1[[#This Row],[TRIMESTRE  I]:[TRIMESTRE IV]])</f>
        <v>11324</v>
      </c>
      <c r="N76" s="12" t="s">
        <v>321</v>
      </c>
      <c r="O76" s="12" t="s">
        <v>334</v>
      </c>
      <c r="P76" s="8" t="s">
        <v>322</v>
      </c>
    </row>
    <row r="77" spans="1:16" ht="37.5" customHeight="1" x14ac:dyDescent="0.2">
      <c r="A77" s="3">
        <v>201</v>
      </c>
      <c r="B77" s="4" t="s">
        <v>316</v>
      </c>
      <c r="C77" s="5">
        <v>101</v>
      </c>
      <c r="D77" s="24" t="str">
        <f>IF(C77&lt;=0,"",VLOOKUP(C77,[2]FF!A:D,2,0))</f>
        <v>INGRESOS PROPIOS (IMPUESTOS, DERECHOS, PRODUCTOS Y APROVECHAMIENTOS)</v>
      </c>
      <c r="E77" s="5" t="s">
        <v>327</v>
      </c>
      <c r="F77" s="7" t="s">
        <v>15</v>
      </c>
      <c r="G77" s="8">
        <v>261001</v>
      </c>
      <c r="H77" s="25" t="str">
        <f>IF(G77&lt;=0,"",VLOOKUP(G77,[2]COG!A:H,2,0))</f>
        <v>Combustibles</v>
      </c>
      <c r="I77" s="10">
        <v>53436</v>
      </c>
      <c r="J77" s="10">
        <v>53436</v>
      </c>
      <c r="K77" s="10">
        <v>53436</v>
      </c>
      <c r="L77" s="10">
        <v>53440</v>
      </c>
      <c r="M77" s="27">
        <f>SUM(Tabla1[[#This Row],[TRIMESTRE  I]:[TRIMESTRE IV]])</f>
        <v>213748</v>
      </c>
      <c r="N77" s="12" t="s">
        <v>17</v>
      </c>
      <c r="O77" s="13" t="s">
        <v>335</v>
      </c>
      <c r="P77" s="8" t="s">
        <v>318</v>
      </c>
    </row>
    <row r="78" spans="1:16" ht="37.5" customHeight="1" x14ac:dyDescent="0.2">
      <c r="A78" s="3">
        <v>201</v>
      </c>
      <c r="B78" s="4" t="s">
        <v>316</v>
      </c>
      <c r="C78" s="5">
        <v>101</v>
      </c>
      <c r="D78" s="24" t="str">
        <f>IF(C78&lt;=0,"",VLOOKUP(C78,[2]FF!A:D,2,0))</f>
        <v>INGRESOS PROPIOS (IMPUESTOS, DERECHOS, PRODUCTOS Y APROVECHAMIENTOS)</v>
      </c>
      <c r="E78" s="5" t="s">
        <v>327</v>
      </c>
      <c r="F78" s="7" t="s">
        <v>15</v>
      </c>
      <c r="G78" s="8">
        <v>296001</v>
      </c>
      <c r="H78" s="25" t="str">
        <f>IF(G78&lt;=0,"",VLOOKUP(G78,[2]COG!A:H,2,0))</f>
        <v>Herramientas, refacciones y accesorios</v>
      </c>
      <c r="I78" s="10">
        <v>6000</v>
      </c>
      <c r="J78" s="10">
        <v>6000</v>
      </c>
      <c r="K78" s="10">
        <v>6000</v>
      </c>
      <c r="L78" s="10">
        <v>6000</v>
      </c>
      <c r="M78" s="27">
        <f>SUM(Tabla1[[#This Row],[TRIMESTRE  I]:[TRIMESTRE IV]])</f>
        <v>24000</v>
      </c>
      <c r="N78" s="12" t="s">
        <v>19</v>
      </c>
      <c r="O78" s="12" t="s">
        <v>334</v>
      </c>
      <c r="P78" s="8" t="s">
        <v>320</v>
      </c>
    </row>
    <row r="79" spans="1:16" ht="37.5" customHeight="1" x14ac:dyDescent="0.2">
      <c r="A79" s="3">
        <v>201</v>
      </c>
      <c r="B79" s="4" t="s">
        <v>316</v>
      </c>
      <c r="C79" s="5">
        <v>101</v>
      </c>
      <c r="D79" s="24" t="str">
        <f>IF(C79&lt;=0,"",VLOOKUP(C79,[2]FF!A:D,2,0))</f>
        <v>INGRESOS PROPIOS (IMPUESTOS, DERECHOS, PRODUCTOS Y APROVECHAMIENTOS)</v>
      </c>
      <c r="E79" s="5" t="s">
        <v>327</v>
      </c>
      <c r="F79" s="7" t="s">
        <v>22</v>
      </c>
      <c r="G79" s="8">
        <v>323001</v>
      </c>
      <c r="H79" s="25" t="str">
        <f>IF(G79&lt;=0,"",VLOOKUP(G79,[2]COG!A:H,2,0))</f>
        <v>Arrendamiento de maquinaria y equipo</v>
      </c>
      <c r="I79" s="10">
        <v>36531</v>
      </c>
      <c r="J79" s="10">
        <v>36531</v>
      </c>
      <c r="K79" s="10">
        <v>36531</v>
      </c>
      <c r="L79" s="10">
        <v>36531</v>
      </c>
      <c r="M79" s="27">
        <f>SUM(Tabla1[[#This Row],[TRIMESTRE  I]:[TRIMESTRE IV]])</f>
        <v>146124</v>
      </c>
      <c r="N79" s="12" t="s">
        <v>17</v>
      </c>
      <c r="O79" s="13" t="s">
        <v>335</v>
      </c>
      <c r="P79" s="8" t="s">
        <v>318</v>
      </c>
    </row>
    <row r="80" spans="1:16" ht="37.5" customHeight="1" x14ac:dyDescent="0.2">
      <c r="A80" s="3">
        <v>201</v>
      </c>
      <c r="B80" s="4" t="s">
        <v>316</v>
      </c>
      <c r="C80" s="5">
        <v>101</v>
      </c>
      <c r="D80" s="24" t="str">
        <f>IF(C80&lt;=0,"",VLOOKUP(C80,[2]FF!A:D,2,0))</f>
        <v>INGRESOS PROPIOS (IMPUESTOS, DERECHOS, PRODUCTOS Y APROVECHAMIENTOS)</v>
      </c>
      <c r="E80" s="5" t="s">
        <v>327</v>
      </c>
      <c r="F80" s="7" t="s">
        <v>22</v>
      </c>
      <c r="G80" s="8">
        <v>355001</v>
      </c>
      <c r="H80" s="25" t="str">
        <f>IF(G80&lt;=0,"",VLOOKUP(G80,[2]COG!A:H,2,0))</f>
        <v>Mantto. y conservación de vehículos terrestres, aéreos, marítimos, lacustres y fluviales</v>
      </c>
      <c r="I80" s="10">
        <v>16280</v>
      </c>
      <c r="J80" s="10">
        <v>16870</v>
      </c>
      <c r="K80" s="10">
        <v>15368</v>
      </c>
      <c r="L80" s="10">
        <v>7125</v>
      </c>
      <c r="M80" s="27">
        <f>SUM(Tabla1[[#This Row],[TRIMESTRE  I]:[TRIMESTRE IV]])</f>
        <v>55643</v>
      </c>
      <c r="N80" s="12" t="s">
        <v>321</v>
      </c>
      <c r="O80" s="12" t="s">
        <v>334</v>
      </c>
      <c r="P80" s="8" t="s">
        <v>322</v>
      </c>
    </row>
    <row r="81" spans="1:16" ht="37.5" customHeight="1" x14ac:dyDescent="0.2">
      <c r="A81" s="3">
        <v>201</v>
      </c>
      <c r="B81" s="4" t="s">
        <v>316</v>
      </c>
      <c r="C81" s="5">
        <v>101</v>
      </c>
      <c r="D81" s="24" t="str">
        <f>IF(C81&lt;=0,"",VLOOKUP(C81,[2]FF!A:D,2,0))</f>
        <v>INGRESOS PROPIOS (IMPUESTOS, DERECHOS, PRODUCTOS Y APROVECHAMIENTOS)</v>
      </c>
      <c r="E81" s="5" t="s">
        <v>327</v>
      </c>
      <c r="F81" s="7" t="s">
        <v>22</v>
      </c>
      <c r="G81" s="8">
        <v>371001</v>
      </c>
      <c r="H81" s="25" t="str">
        <f>IF(G81&lt;=0,"",VLOOKUP(G81,[2]COG!A:H,2,0))</f>
        <v>Pasajes aéreos</v>
      </c>
      <c r="I81" s="10">
        <v>4845</v>
      </c>
      <c r="J81" s="10">
        <v>4845</v>
      </c>
      <c r="K81" s="10">
        <v>4845</v>
      </c>
      <c r="L81" s="10">
        <v>4845</v>
      </c>
      <c r="M81" s="27">
        <f>SUM(Tabla1[[#This Row],[TRIMESTRE  I]:[TRIMESTRE IV]])</f>
        <v>19380</v>
      </c>
      <c r="N81" s="12" t="s">
        <v>17</v>
      </c>
      <c r="O81" s="12" t="s">
        <v>335</v>
      </c>
      <c r="P81" s="8" t="s">
        <v>318</v>
      </c>
    </row>
    <row r="82" spans="1:16" ht="37.5" customHeight="1" x14ac:dyDescent="0.2">
      <c r="A82" s="3">
        <v>201</v>
      </c>
      <c r="B82" s="4" t="s">
        <v>316</v>
      </c>
      <c r="C82" s="5">
        <v>101</v>
      </c>
      <c r="D82" s="24" t="str">
        <f>IF(C82&lt;=0,"",VLOOKUP(C82,[2]FF!A:D,2,0))</f>
        <v>INGRESOS PROPIOS (IMPUESTOS, DERECHOS, PRODUCTOS Y APROVECHAMIENTOS)</v>
      </c>
      <c r="E82" s="5" t="s">
        <v>327</v>
      </c>
      <c r="F82" s="7" t="s">
        <v>22</v>
      </c>
      <c r="G82" s="8">
        <v>375001</v>
      </c>
      <c r="H82" s="25" t="str">
        <f>IF(G82&lt;=0,"",VLOOKUP(G82,[2]COG!A:H,2,0))</f>
        <v>Viáticos</v>
      </c>
      <c r="I82" s="10">
        <v>8812</v>
      </c>
      <c r="J82" s="10">
        <v>8166</v>
      </c>
      <c r="K82" s="10">
        <v>9135</v>
      </c>
      <c r="L82" s="10">
        <v>9133</v>
      </c>
      <c r="M82" s="27">
        <f>SUM(Tabla1[[#This Row],[TRIMESTRE  I]:[TRIMESTRE IV]])</f>
        <v>35246</v>
      </c>
      <c r="N82" s="12"/>
      <c r="O82" s="12"/>
      <c r="P82" s="8"/>
    </row>
    <row r="83" spans="1:16" ht="37.5" customHeight="1" x14ac:dyDescent="0.2">
      <c r="A83" s="3">
        <v>201</v>
      </c>
      <c r="B83" s="4" t="s">
        <v>316</v>
      </c>
      <c r="C83" s="5">
        <v>101</v>
      </c>
      <c r="D83" s="24" t="str">
        <f>IF(C83&lt;=0,"",VLOOKUP(C83,[2]FF!A:D,2,0))</f>
        <v>INGRESOS PROPIOS (IMPUESTOS, DERECHOS, PRODUCTOS Y APROVECHAMIENTOS)</v>
      </c>
      <c r="E83" s="5" t="s">
        <v>327</v>
      </c>
      <c r="F83" s="7" t="s">
        <v>22</v>
      </c>
      <c r="G83" s="8">
        <v>382002</v>
      </c>
      <c r="H83" s="25" t="str">
        <f>IF(G83&lt;=0,"",VLOOKUP(G83,[2]COG!A:H,2,0))</f>
        <v>Gastos de recepción, conmemorativos y de orden social</v>
      </c>
      <c r="I83" s="10">
        <v>39752</v>
      </c>
      <c r="J83" s="10">
        <v>39753</v>
      </c>
      <c r="K83" s="10">
        <v>39753</v>
      </c>
      <c r="L83" s="10">
        <v>39753</v>
      </c>
      <c r="M83" s="27">
        <f>SUM(Tabla1[[#This Row],[TRIMESTRE  I]:[TRIMESTRE IV]])</f>
        <v>159011</v>
      </c>
      <c r="N83" s="12"/>
      <c r="O83" s="12"/>
      <c r="P83" s="8"/>
    </row>
    <row r="84" spans="1:16" ht="37.5" customHeight="1" x14ac:dyDescent="0.2">
      <c r="A84" s="3">
        <v>201</v>
      </c>
      <c r="B84" s="4" t="s">
        <v>316</v>
      </c>
      <c r="C84" s="5">
        <v>101</v>
      </c>
      <c r="D84" s="24" t="str">
        <f>IF(C84&lt;=0,"",VLOOKUP(C84,[2]FF!A:D,2,0))</f>
        <v>INGRESOS PROPIOS (IMPUESTOS, DERECHOS, PRODUCTOS Y APROVECHAMIENTOS)</v>
      </c>
      <c r="E84" s="5" t="s">
        <v>328</v>
      </c>
      <c r="F84" s="7" t="s">
        <v>15</v>
      </c>
      <c r="G84" s="8">
        <v>211001</v>
      </c>
      <c r="H84" s="25" t="str">
        <f>IF(G84&lt;=0,"",VLOOKUP(G84,[2]COG!A:H,2,0))</f>
        <v>Material de oficina</v>
      </c>
      <c r="I84" s="10">
        <v>1212</v>
      </c>
      <c r="J84" s="10">
        <v>1212</v>
      </c>
      <c r="K84" s="10">
        <v>1212</v>
      </c>
      <c r="L84" s="10">
        <v>1212</v>
      </c>
      <c r="M84" s="27">
        <f>SUM(Tabla1[[#This Row],[TRIMESTRE  I]:[TRIMESTRE IV]])</f>
        <v>4848</v>
      </c>
      <c r="N84" s="12" t="s">
        <v>17</v>
      </c>
      <c r="O84" s="12" t="s">
        <v>334</v>
      </c>
      <c r="P84" s="8" t="s">
        <v>318</v>
      </c>
    </row>
    <row r="85" spans="1:16" ht="37.5" customHeight="1" x14ac:dyDescent="0.2">
      <c r="A85" s="3">
        <v>201</v>
      </c>
      <c r="B85" s="4" t="s">
        <v>316</v>
      </c>
      <c r="C85" s="5">
        <v>101</v>
      </c>
      <c r="D85" s="24" t="str">
        <f>IF(C85&lt;=0,"",VLOOKUP(C85,[2]FF!A:D,2,0))</f>
        <v>INGRESOS PROPIOS (IMPUESTOS, DERECHOS, PRODUCTOS Y APROVECHAMIENTOS)</v>
      </c>
      <c r="E85" s="5" t="s">
        <v>328</v>
      </c>
      <c r="F85" s="7" t="s">
        <v>15</v>
      </c>
      <c r="G85" s="8">
        <v>216001</v>
      </c>
      <c r="H85" s="25" t="str">
        <f>IF(G85&lt;=0,"",VLOOKUP(G85,[2]COG!A:H,2,0))</f>
        <v>Material de limpieza</v>
      </c>
      <c r="I85" s="10">
        <v>2797</v>
      </c>
      <c r="J85" s="10">
        <v>2796</v>
      </c>
      <c r="K85" s="10">
        <v>2796</v>
      </c>
      <c r="L85" s="10">
        <v>2106</v>
      </c>
      <c r="M85" s="27">
        <f>SUM(Tabla1[[#This Row],[TRIMESTRE  I]:[TRIMESTRE IV]])</f>
        <v>10495</v>
      </c>
      <c r="N85" s="12" t="s">
        <v>17</v>
      </c>
      <c r="O85" s="12" t="s">
        <v>334</v>
      </c>
      <c r="P85" s="8" t="s">
        <v>318</v>
      </c>
    </row>
    <row r="86" spans="1:16" ht="37.5" customHeight="1" x14ac:dyDescent="0.2">
      <c r="A86" s="3">
        <v>201</v>
      </c>
      <c r="B86" s="4" t="s">
        <v>316</v>
      </c>
      <c r="C86" s="5">
        <v>101</v>
      </c>
      <c r="D86" s="24" t="str">
        <f>IF(C86&lt;=0,"",VLOOKUP(C86,[2]FF!A:D,2,0))</f>
        <v>INGRESOS PROPIOS (IMPUESTOS, DERECHOS, PRODUCTOS Y APROVECHAMIENTOS)</v>
      </c>
      <c r="E86" s="5" t="s">
        <v>328</v>
      </c>
      <c r="F86" s="7" t="s">
        <v>15</v>
      </c>
      <c r="G86" s="8">
        <v>261001</v>
      </c>
      <c r="H86" s="25" t="str">
        <f>IF(G86&lt;=0,"",VLOOKUP(G86,[2]COG!A:H,2,0))</f>
        <v>Combustibles</v>
      </c>
      <c r="I86" s="10">
        <v>45258</v>
      </c>
      <c r="J86" s="10">
        <v>45258</v>
      </c>
      <c r="K86" s="10">
        <v>45258</v>
      </c>
      <c r="L86" s="10">
        <v>45258</v>
      </c>
      <c r="M86" s="27">
        <f>SUM(Tabla1[[#This Row],[TRIMESTRE  I]:[TRIMESTRE IV]])</f>
        <v>181032</v>
      </c>
      <c r="N86" s="12" t="s">
        <v>17</v>
      </c>
      <c r="O86" s="13" t="s">
        <v>335</v>
      </c>
      <c r="P86" s="8" t="s">
        <v>318</v>
      </c>
    </row>
    <row r="87" spans="1:16" ht="37.5" customHeight="1" x14ac:dyDescent="0.2">
      <c r="A87" s="3">
        <v>201</v>
      </c>
      <c r="B87" s="4" t="s">
        <v>316</v>
      </c>
      <c r="C87" s="5">
        <v>101</v>
      </c>
      <c r="D87" s="24" t="str">
        <f>IF(C87&lt;=0,"",VLOOKUP(C87,[2]FF!A:D,2,0))</f>
        <v>INGRESOS PROPIOS (IMPUESTOS, DERECHOS, PRODUCTOS Y APROVECHAMIENTOS)</v>
      </c>
      <c r="E87" s="5" t="s">
        <v>328</v>
      </c>
      <c r="F87" s="7" t="s">
        <v>15</v>
      </c>
      <c r="G87" s="8">
        <v>296001</v>
      </c>
      <c r="H87" s="25" t="str">
        <f>IF(G87&lt;=0,"",VLOOKUP(G87,[2]COG!A:H,2,0))</f>
        <v>Herramientas, refacciones y accesorios</v>
      </c>
      <c r="I87" s="10">
        <v>1151</v>
      </c>
      <c r="J87" s="10">
        <v>1152</v>
      </c>
      <c r="K87" s="10">
        <v>1152</v>
      </c>
      <c r="L87" s="10">
        <v>1152</v>
      </c>
      <c r="M87" s="27">
        <f>SUM(Tabla1[[#This Row],[TRIMESTRE  I]:[TRIMESTRE IV]])</f>
        <v>4607</v>
      </c>
      <c r="N87" s="12" t="s">
        <v>19</v>
      </c>
      <c r="O87" s="12" t="s">
        <v>334</v>
      </c>
      <c r="P87" s="8" t="s">
        <v>320</v>
      </c>
    </row>
    <row r="88" spans="1:16" ht="37.5" customHeight="1" x14ac:dyDescent="0.2">
      <c r="A88" s="3">
        <v>201</v>
      </c>
      <c r="B88" s="4" t="s">
        <v>316</v>
      </c>
      <c r="C88" s="5">
        <v>101</v>
      </c>
      <c r="D88" s="24" t="str">
        <f>IF(C88&lt;=0,"",VLOOKUP(C88,[2]FF!A:D,2,0))</f>
        <v>INGRESOS PROPIOS (IMPUESTOS, DERECHOS, PRODUCTOS Y APROVECHAMIENTOS)</v>
      </c>
      <c r="E88" s="5" t="s">
        <v>328</v>
      </c>
      <c r="F88" s="7" t="s">
        <v>22</v>
      </c>
      <c r="G88" s="8">
        <v>311001</v>
      </c>
      <c r="H88" s="25" t="str">
        <f>IF(G88&lt;=0,"",VLOOKUP(G88,[2]COG!A:H,2,0))</f>
        <v>Servicio de energía eléctrica</v>
      </c>
      <c r="I88" s="10">
        <v>2500</v>
      </c>
      <c r="J88" s="10">
        <v>2502</v>
      </c>
      <c r="K88" s="10">
        <v>2502</v>
      </c>
      <c r="L88" s="10">
        <v>2496</v>
      </c>
      <c r="M88" s="27">
        <f>SUM(Tabla1[[#This Row],[TRIMESTRE  I]:[TRIMESTRE IV]])</f>
        <v>10000</v>
      </c>
      <c r="N88" s="12"/>
      <c r="O88" s="12"/>
      <c r="P88" s="8"/>
    </row>
    <row r="89" spans="1:16" ht="37.5" customHeight="1" x14ac:dyDescent="0.2">
      <c r="A89" s="3">
        <v>201</v>
      </c>
      <c r="B89" s="4" t="s">
        <v>316</v>
      </c>
      <c r="C89" s="5">
        <v>101</v>
      </c>
      <c r="D89" s="24" t="str">
        <f>IF(C89&lt;=0,"",VLOOKUP(C89,[2]FF!A:D,2,0))</f>
        <v>INGRESOS PROPIOS (IMPUESTOS, DERECHOS, PRODUCTOS Y APROVECHAMIENTOS)</v>
      </c>
      <c r="E89" s="5" t="s">
        <v>328</v>
      </c>
      <c r="F89" s="7" t="s">
        <v>22</v>
      </c>
      <c r="G89" s="8">
        <v>314001</v>
      </c>
      <c r="H89" s="25" t="str">
        <f>IF(G89&lt;=0,"",VLOOKUP(G89,[2]COG!A:H,2,0))</f>
        <v>Servicio telefónico</v>
      </c>
      <c r="I89" s="10">
        <v>1751</v>
      </c>
      <c r="J89" s="10">
        <v>1751</v>
      </c>
      <c r="K89" s="10">
        <v>1749</v>
      </c>
      <c r="L89" s="10">
        <v>1749</v>
      </c>
      <c r="M89" s="27">
        <f>SUM(Tabla1[[#This Row],[TRIMESTRE  I]:[TRIMESTRE IV]])</f>
        <v>7000</v>
      </c>
      <c r="N89" s="12"/>
      <c r="O89" s="12"/>
      <c r="P89" s="8"/>
    </row>
    <row r="90" spans="1:16" ht="37.5" customHeight="1" x14ac:dyDescent="0.2">
      <c r="A90" s="3">
        <v>201</v>
      </c>
      <c r="B90" s="4" t="s">
        <v>316</v>
      </c>
      <c r="C90" s="5">
        <v>101</v>
      </c>
      <c r="D90" s="24" t="str">
        <f>IF(C90&lt;=0,"",VLOOKUP(C90,[2]FF!A:D,2,0))</f>
        <v>INGRESOS PROPIOS (IMPUESTOS, DERECHOS, PRODUCTOS Y APROVECHAMIENTOS)</v>
      </c>
      <c r="E90" s="5" t="s">
        <v>328</v>
      </c>
      <c r="F90" s="7" t="s">
        <v>22</v>
      </c>
      <c r="G90" s="8">
        <v>323001</v>
      </c>
      <c r="H90" s="25" t="str">
        <f>IF(G90&lt;=0,"",VLOOKUP(G90,[2]COG!A:H,2,0))</f>
        <v>Arrendamiento de maquinaria y equipo</v>
      </c>
      <c r="I90" s="10">
        <v>12327</v>
      </c>
      <c r="J90" s="10">
        <v>12327</v>
      </c>
      <c r="K90" s="10">
        <v>12327</v>
      </c>
      <c r="L90" s="10">
        <v>12327</v>
      </c>
      <c r="M90" s="27">
        <f>SUM(Tabla1[[#This Row],[TRIMESTRE  I]:[TRIMESTRE IV]])</f>
        <v>49308</v>
      </c>
      <c r="N90" s="12" t="s">
        <v>17</v>
      </c>
      <c r="O90" s="13" t="s">
        <v>335</v>
      </c>
      <c r="P90" s="8" t="s">
        <v>318</v>
      </c>
    </row>
    <row r="91" spans="1:16" ht="37.5" customHeight="1" x14ac:dyDescent="0.2">
      <c r="A91" s="3">
        <v>201</v>
      </c>
      <c r="B91" s="4" t="s">
        <v>316</v>
      </c>
      <c r="C91" s="5">
        <v>101</v>
      </c>
      <c r="D91" s="24" t="str">
        <f>IF(C91&lt;=0,"",VLOOKUP(C91,[2]FF!A:D,2,0))</f>
        <v>INGRESOS PROPIOS (IMPUESTOS, DERECHOS, PRODUCTOS Y APROVECHAMIENTOS)</v>
      </c>
      <c r="E91" s="5" t="s">
        <v>328</v>
      </c>
      <c r="F91" s="7" t="s">
        <v>22</v>
      </c>
      <c r="G91" s="8">
        <v>355001</v>
      </c>
      <c r="H91" s="25" t="str">
        <f>IF(G91&lt;=0,"",VLOOKUP(G91,[2]COG!A:H,2,0))</f>
        <v>Mantto. y conservación de vehículos terrestres, aéreos, marítimos, lacustres y fluviales</v>
      </c>
      <c r="I91" s="10">
        <v>2850</v>
      </c>
      <c r="J91" s="10">
        <v>2850</v>
      </c>
      <c r="K91" s="10">
        <v>2850</v>
      </c>
      <c r="L91" s="10">
        <v>2846</v>
      </c>
      <c r="M91" s="27">
        <f>SUM(Tabla1[[#This Row],[TRIMESTRE  I]:[TRIMESTRE IV]])</f>
        <v>11396</v>
      </c>
      <c r="N91" s="12" t="s">
        <v>321</v>
      </c>
      <c r="O91" s="12" t="s">
        <v>334</v>
      </c>
      <c r="P91" s="8" t="s">
        <v>322</v>
      </c>
    </row>
    <row r="92" spans="1:16" ht="37.5" customHeight="1" x14ac:dyDescent="0.2">
      <c r="A92" s="3">
        <v>201</v>
      </c>
      <c r="B92" s="4" t="s">
        <v>316</v>
      </c>
      <c r="C92" s="5">
        <v>101</v>
      </c>
      <c r="D92" s="24" t="str">
        <f>IF(C92&lt;=0,"",VLOOKUP(C92,[2]FF!A:D,2,0))</f>
        <v>INGRESOS PROPIOS (IMPUESTOS, DERECHOS, PRODUCTOS Y APROVECHAMIENTOS)</v>
      </c>
      <c r="E92" s="5" t="s">
        <v>328</v>
      </c>
      <c r="F92" s="7" t="s">
        <v>22</v>
      </c>
      <c r="G92" s="8">
        <v>371001</v>
      </c>
      <c r="H92" s="25" t="str">
        <f>IF(G92&lt;=0,"",VLOOKUP(G92,[2]COG!A:H,2,0))</f>
        <v>Pasajes aéreos</v>
      </c>
      <c r="I92" s="10">
        <v>4845</v>
      </c>
      <c r="J92" s="10">
        <v>4845</v>
      </c>
      <c r="K92" s="10">
        <v>4845</v>
      </c>
      <c r="L92" s="10">
        <v>4845</v>
      </c>
      <c r="M92" s="27">
        <f>SUM(Tabla1[[#This Row],[TRIMESTRE  I]:[TRIMESTRE IV]])</f>
        <v>19380</v>
      </c>
      <c r="N92" s="12" t="s">
        <v>17</v>
      </c>
      <c r="O92" s="12" t="s">
        <v>335</v>
      </c>
      <c r="P92" s="8" t="s">
        <v>318</v>
      </c>
    </row>
    <row r="93" spans="1:16" ht="37.5" customHeight="1" x14ac:dyDescent="0.2">
      <c r="A93" s="3">
        <v>201</v>
      </c>
      <c r="B93" s="4" t="s">
        <v>316</v>
      </c>
      <c r="C93" s="5">
        <v>101</v>
      </c>
      <c r="D93" s="24" t="str">
        <f>IF(C93&lt;=0,"",VLOOKUP(C93,[2]FF!A:D,2,0))</f>
        <v>INGRESOS PROPIOS (IMPUESTOS, DERECHOS, PRODUCTOS Y APROVECHAMIENTOS)</v>
      </c>
      <c r="E93" s="5" t="s">
        <v>328</v>
      </c>
      <c r="F93" s="7" t="s">
        <v>22</v>
      </c>
      <c r="G93" s="8">
        <v>375001</v>
      </c>
      <c r="H93" s="25" t="str">
        <f>IF(G93&lt;=0,"",VLOOKUP(G93,[2]COG!A:H,2,0))</f>
        <v>Viáticos</v>
      </c>
      <c r="I93" s="10">
        <v>14844</v>
      </c>
      <c r="J93" s="10">
        <v>14844</v>
      </c>
      <c r="K93" s="10">
        <v>14844</v>
      </c>
      <c r="L93" s="10">
        <v>14844</v>
      </c>
      <c r="M93" s="27">
        <f>SUM(Tabla1[[#This Row],[TRIMESTRE  I]:[TRIMESTRE IV]])</f>
        <v>59376</v>
      </c>
      <c r="N93" s="12"/>
      <c r="O93" s="12"/>
      <c r="P93" s="8"/>
    </row>
    <row r="94" spans="1:16" ht="37.5" customHeight="1" x14ac:dyDescent="0.2">
      <c r="A94" s="3">
        <v>201</v>
      </c>
      <c r="B94" s="4" t="s">
        <v>316</v>
      </c>
      <c r="C94" s="5">
        <v>101</v>
      </c>
      <c r="D94" s="24" t="str">
        <f>IF(C94&lt;=0,"",VLOOKUP(C94,[2]FF!A:D,2,0))</f>
        <v>INGRESOS PROPIOS (IMPUESTOS, DERECHOS, PRODUCTOS Y APROVECHAMIENTOS)</v>
      </c>
      <c r="E94" s="5" t="s">
        <v>328</v>
      </c>
      <c r="F94" s="7" t="s">
        <v>22</v>
      </c>
      <c r="G94" s="8">
        <v>382002</v>
      </c>
      <c r="H94" s="25" t="str">
        <f>IF(G94&lt;=0,"",VLOOKUP(G94,[2]COG!A:H,2,0))</f>
        <v>Gastos de recepción, conmemorativos y de orden social</v>
      </c>
      <c r="I94" s="10">
        <v>3055</v>
      </c>
      <c r="J94" s="10">
        <v>3053</v>
      </c>
      <c r="K94" s="10">
        <v>3030</v>
      </c>
      <c r="L94" s="10">
        <v>0</v>
      </c>
      <c r="M94" s="27">
        <f>SUM(Tabla1[[#This Row],[TRIMESTRE  I]:[TRIMESTRE IV]])</f>
        <v>9138</v>
      </c>
      <c r="N94" s="12"/>
      <c r="O94" s="12"/>
      <c r="P94" s="8"/>
    </row>
    <row r="95" spans="1:16" ht="37.5" customHeight="1" x14ac:dyDescent="0.2">
      <c r="A95" s="3">
        <v>201</v>
      </c>
      <c r="B95" s="4" t="s">
        <v>316</v>
      </c>
      <c r="C95" s="5">
        <v>101</v>
      </c>
      <c r="D95" s="24" t="str">
        <f>IF(C95&lt;=0,"",VLOOKUP(C95,[2]FF!A:D,2,0))</f>
        <v>INGRESOS PROPIOS (IMPUESTOS, DERECHOS, PRODUCTOS Y APROVECHAMIENTOS)</v>
      </c>
      <c r="E95" s="5" t="s">
        <v>329</v>
      </c>
      <c r="F95" s="7" t="s">
        <v>15</v>
      </c>
      <c r="G95" s="8">
        <v>211001</v>
      </c>
      <c r="H95" s="25" t="str">
        <f>IF(G95&lt;=0,"",VLOOKUP(G95,[2]COG!A:H,2,0))</f>
        <v>Material de oficina</v>
      </c>
      <c r="I95" s="10">
        <v>3852</v>
      </c>
      <c r="J95" s="10">
        <v>3852</v>
      </c>
      <c r="K95" s="10">
        <v>3852</v>
      </c>
      <c r="L95" s="10">
        <v>3852</v>
      </c>
      <c r="M95" s="27">
        <f>SUM(Tabla1[[#This Row],[TRIMESTRE  I]:[TRIMESTRE IV]])</f>
        <v>15408</v>
      </c>
      <c r="N95" s="12" t="s">
        <v>17</v>
      </c>
      <c r="O95" s="12" t="s">
        <v>334</v>
      </c>
      <c r="P95" s="8" t="s">
        <v>318</v>
      </c>
    </row>
    <row r="96" spans="1:16" ht="37.5" customHeight="1" x14ac:dyDescent="0.2">
      <c r="A96" s="3">
        <v>201</v>
      </c>
      <c r="B96" s="4" t="s">
        <v>316</v>
      </c>
      <c r="C96" s="5">
        <v>101</v>
      </c>
      <c r="D96" s="24" t="str">
        <f>IF(C96&lt;=0,"",VLOOKUP(C96,[2]FF!A:D,2,0))</f>
        <v>INGRESOS PROPIOS (IMPUESTOS, DERECHOS, PRODUCTOS Y APROVECHAMIENTOS)</v>
      </c>
      <c r="E96" s="5" t="s">
        <v>329</v>
      </c>
      <c r="F96" s="7" t="s">
        <v>15</v>
      </c>
      <c r="G96" s="8">
        <v>216001</v>
      </c>
      <c r="H96" s="25" t="str">
        <f>IF(G96&lt;=0,"",VLOOKUP(G96,[2]COG!A:H,2,0))</f>
        <v>Material de limpieza</v>
      </c>
      <c r="I96" s="10">
        <v>2377</v>
      </c>
      <c r="J96" s="10">
        <v>2376</v>
      </c>
      <c r="K96" s="10">
        <v>2376</v>
      </c>
      <c r="L96" s="10">
        <v>2376</v>
      </c>
      <c r="M96" s="27">
        <f>SUM(Tabla1[[#This Row],[TRIMESTRE  I]:[TRIMESTRE IV]])</f>
        <v>9505</v>
      </c>
      <c r="N96" s="12" t="s">
        <v>17</v>
      </c>
      <c r="O96" s="12" t="s">
        <v>334</v>
      </c>
      <c r="P96" s="8" t="s">
        <v>318</v>
      </c>
    </row>
    <row r="97" spans="1:16" ht="37.5" customHeight="1" x14ac:dyDescent="0.2">
      <c r="A97" s="3">
        <v>201</v>
      </c>
      <c r="B97" s="4" t="s">
        <v>316</v>
      </c>
      <c r="C97" s="5">
        <v>101</v>
      </c>
      <c r="D97" s="24" t="str">
        <f>IF(C97&lt;=0,"",VLOOKUP(C97,[2]FF!A:D,2,0))</f>
        <v>INGRESOS PROPIOS (IMPUESTOS, DERECHOS, PRODUCTOS Y APROVECHAMIENTOS)</v>
      </c>
      <c r="E97" s="5" t="s">
        <v>329</v>
      </c>
      <c r="F97" s="7" t="s">
        <v>15</v>
      </c>
      <c r="G97" s="8">
        <v>221001</v>
      </c>
      <c r="H97" s="25" t="str">
        <f>IF(G97&lt;=0,"",VLOOKUP(G97,[2]COG!A:H,2,0))</f>
        <v>Alimentación de personas</v>
      </c>
      <c r="I97" s="10">
        <v>3525</v>
      </c>
      <c r="J97" s="10">
        <v>3525</v>
      </c>
      <c r="K97" s="10">
        <v>3525</v>
      </c>
      <c r="L97" s="10">
        <v>3525</v>
      </c>
      <c r="M97" s="27">
        <f>SUM(Tabla1[[#This Row],[TRIMESTRE  I]:[TRIMESTRE IV]])</f>
        <v>14100</v>
      </c>
      <c r="N97" s="12" t="s">
        <v>321</v>
      </c>
      <c r="O97" s="12" t="s">
        <v>334</v>
      </c>
      <c r="P97" s="8" t="s">
        <v>322</v>
      </c>
    </row>
    <row r="98" spans="1:16" ht="37.5" customHeight="1" x14ac:dyDescent="0.2">
      <c r="A98" s="3">
        <v>201</v>
      </c>
      <c r="B98" s="4" t="s">
        <v>316</v>
      </c>
      <c r="C98" s="5">
        <v>101</v>
      </c>
      <c r="D98" s="24" t="str">
        <f>IF(C98&lt;=0,"",VLOOKUP(C98,[2]FF!A:D,2,0))</f>
        <v>INGRESOS PROPIOS (IMPUESTOS, DERECHOS, PRODUCTOS Y APROVECHAMIENTOS)</v>
      </c>
      <c r="E98" s="5" t="s">
        <v>329</v>
      </c>
      <c r="F98" s="7" t="s">
        <v>15</v>
      </c>
      <c r="G98" s="8">
        <v>261001</v>
      </c>
      <c r="H98" s="25" t="str">
        <f>IF(G98&lt;=0,"",VLOOKUP(G98,[2]COG!A:H,2,0))</f>
        <v>Combustibles</v>
      </c>
      <c r="I98" s="10">
        <v>23424</v>
      </c>
      <c r="J98" s="10">
        <v>23424</v>
      </c>
      <c r="K98" s="10">
        <v>22014</v>
      </c>
      <c r="L98" s="10">
        <v>22014</v>
      </c>
      <c r="M98" s="27">
        <f>SUM(Tabla1[[#This Row],[TRIMESTRE  I]:[TRIMESTRE IV]])</f>
        <v>90876</v>
      </c>
      <c r="N98" s="12" t="s">
        <v>17</v>
      </c>
      <c r="O98" s="13" t="s">
        <v>335</v>
      </c>
      <c r="P98" s="8" t="s">
        <v>318</v>
      </c>
    </row>
    <row r="99" spans="1:16" ht="37.5" customHeight="1" x14ac:dyDescent="0.2">
      <c r="A99" s="3">
        <v>201</v>
      </c>
      <c r="B99" s="4" t="s">
        <v>316</v>
      </c>
      <c r="C99" s="5">
        <v>101</v>
      </c>
      <c r="D99" s="24" t="str">
        <f>IF(C99&lt;=0,"",VLOOKUP(C99,[2]FF!A:D,2,0))</f>
        <v>INGRESOS PROPIOS (IMPUESTOS, DERECHOS, PRODUCTOS Y APROVECHAMIENTOS)</v>
      </c>
      <c r="E99" s="5" t="s">
        <v>329</v>
      </c>
      <c r="F99" s="7" t="s">
        <v>15</v>
      </c>
      <c r="G99" s="8">
        <v>271001</v>
      </c>
      <c r="H99" s="25" t="str">
        <f>IF(G99&lt;=0,"",VLOOKUP(G99,[2]COG!A:H,2,0))</f>
        <v>Ropa, vestuario y equipo</v>
      </c>
      <c r="I99" s="10">
        <v>4135</v>
      </c>
      <c r="J99" s="10">
        <v>4134</v>
      </c>
      <c r="K99" s="10">
        <v>4134</v>
      </c>
      <c r="L99" s="10">
        <v>4134</v>
      </c>
      <c r="M99" s="27">
        <f>SUM(Tabla1[[#This Row],[TRIMESTRE  I]:[TRIMESTRE IV]])</f>
        <v>16537</v>
      </c>
      <c r="N99" s="12" t="s">
        <v>17</v>
      </c>
      <c r="O99" s="12" t="s">
        <v>335</v>
      </c>
      <c r="P99" s="8" t="s">
        <v>318</v>
      </c>
    </row>
    <row r="100" spans="1:16" ht="37.5" customHeight="1" x14ac:dyDescent="0.2">
      <c r="A100" s="3">
        <v>201</v>
      </c>
      <c r="B100" s="4" t="s">
        <v>316</v>
      </c>
      <c r="C100" s="5">
        <v>101</v>
      </c>
      <c r="D100" s="24" t="str">
        <f>IF(C100&lt;=0,"",VLOOKUP(C100,[2]FF!A:D,2,0))</f>
        <v>INGRESOS PROPIOS (IMPUESTOS, DERECHOS, PRODUCTOS Y APROVECHAMIENTOS)</v>
      </c>
      <c r="E100" s="5" t="s">
        <v>329</v>
      </c>
      <c r="F100" s="7" t="s">
        <v>15</v>
      </c>
      <c r="G100" s="8">
        <v>296001</v>
      </c>
      <c r="H100" s="25" t="str">
        <f>IF(G100&lt;=0,"",VLOOKUP(G100,[2]COG!A:H,2,0))</f>
        <v>Herramientas, refacciones y accesorios</v>
      </c>
      <c r="I100" s="10">
        <v>2616</v>
      </c>
      <c r="J100" s="10">
        <v>2616</v>
      </c>
      <c r="K100" s="10">
        <v>2616</v>
      </c>
      <c r="L100" s="10">
        <v>2616</v>
      </c>
      <c r="M100" s="27">
        <f>SUM(Tabla1[[#This Row],[TRIMESTRE  I]:[TRIMESTRE IV]])</f>
        <v>10464</v>
      </c>
      <c r="N100" s="12" t="s">
        <v>19</v>
      </c>
      <c r="O100" s="12" t="s">
        <v>334</v>
      </c>
      <c r="P100" s="8" t="s">
        <v>320</v>
      </c>
    </row>
    <row r="101" spans="1:16" ht="37.5" customHeight="1" x14ac:dyDescent="0.2">
      <c r="A101" s="3">
        <v>201</v>
      </c>
      <c r="B101" s="4" t="s">
        <v>316</v>
      </c>
      <c r="C101" s="5">
        <v>101</v>
      </c>
      <c r="D101" s="24" t="str">
        <f>IF(C101&lt;=0,"",VLOOKUP(C101,[2]FF!A:D,2,0))</f>
        <v>INGRESOS PROPIOS (IMPUESTOS, DERECHOS, PRODUCTOS Y APROVECHAMIENTOS)</v>
      </c>
      <c r="E101" s="5" t="s">
        <v>329</v>
      </c>
      <c r="F101" s="7" t="s">
        <v>22</v>
      </c>
      <c r="G101" s="8">
        <v>355001</v>
      </c>
      <c r="H101" s="25" t="str">
        <f>IF(G101&lt;=0,"",VLOOKUP(G101,[2]COG!A:H,2,0))</f>
        <v>Mantto. y conservación de vehículos terrestres, aéreos, marítimos, lacustres y fluviales</v>
      </c>
      <c r="I101" s="10">
        <v>2565</v>
      </c>
      <c r="J101" s="10">
        <v>2565</v>
      </c>
      <c r="K101" s="10">
        <v>2565</v>
      </c>
      <c r="L101" s="10">
        <v>2565</v>
      </c>
      <c r="M101" s="27">
        <f>SUM(Tabla1[[#This Row],[TRIMESTRE  I]:[TRIMESTRE IV]])</f>
        <v>10260</v>
      </c>
      <c r="N101" s="12" t="s">
        <v>321</v>
      </c>
      <c r="O101" s="12" t="s">
        <v>334</v>
      </c>
      <c r="P101" s="8" t="s">
        <v>322</v>
      </c>
    </row>
    <row r="102" spans="1:16" ht="37.5" customHeight="1" x14ac:dyDescent="0.2">
      <c r="A102" s="3">
        <v>201</v>
      </c>
      <c r="B102" s="4" t="s">
        <v>316</v>
      </c>
      <c r="C102" s="5">
        <v>101</v>
      </c>
      <c r="D102" s="24" t="str">
        <f>IF(C102&lt;=0,"",VLOOKUP(C102,[2]FF!A:D,2,0))</f>
        <v>INGRESOS PROPIOS (IMPUESTOS, DERECHOS, PRODUCTOS Y APROVECHAMIENTOS)</v>
      </c>
      <c r="E102" s="5" t="s">
        <v>329</v>
      </c>
      <c r="F102" s="7" t="s">
        <v>22</v>
      </c>
      <c r="G102" s="8">
        <v>382002</v>
      </c>
      <c r="H102" s="25" t="str">
        <f>IF(G102&lt;=0,"",VLOOKUP(G102,[2]COG!A:H,2,0))</f>
        <v>Gastos de recepción, conmemorativos y de orden social</v>
      </c>
      <c r="I102" s="10">
        <v>74034</v>
      </c>
      <c r="J102" s="10">
        <v>74034</v>
      </c>
      <c r="K102" s="10">
        <v>74034</v>
      </c>
      <c r="L102" s="10">
        <v>74037</v>
      </c>
      <c r="M102" s="27">
        <f>SUM(Tabla1[[#This Row],[TRIMESTRE  I]:[TRIMESTRE IV]])</f>
        <v>296139</v>
      </c>
      <c r="N102" s="12"/>
      <c r="O102" s="12"/>
      <c r="P102" s="8"/>
    </row>
    <row r="103" spans="1:16" ht="37.5" customHeight="1" x14ac:dyDescent="0.2">
      <c r="A103" s="3">
        <v>201</v>
      </c>
      <c r="B103" s="4" t="s">
        <v>316</v>
      </c>
      <c r="C103" s="5">
        <v>101</v>
      </c>
      <c r="D103" s="24" t="str">
        <f>IF(C103&lt;=0,"",VLOOKUP(C103,[2]FF!A:D,2,0))</f>
        <v>INGRESOS PROPIOS (IMPUESTOS, DERECHOS, PRODUCTOS Y APROVECHAMIENTOS)</v>
      </c>
      <c r="E103" s="5" t="s">
        <v>330</v>
      </c>
      <c r="F103" s="7" t="s">
        <v>15</v>
      </c>
      <c r="G103" s="8">
        <v>211001</v>
      </c>
      <c r="H103" s="25" t="str">
        <f>IF(G103&lt;=0,"",VLOOKUP(G103,[2]COG!A:H,2,0))</f>
        <v>Material de oficina</v>
      </c>
      <c r="I103" s="10">
        <v>4290</v>
      </c>
      <c r="J103" s="10">
        <v>4290</v>
      </c>
      <c r="K103" s="10">
        <v>4290</v>
      </c>
      <c r="L103" s="10">
        <v>4290</v>
      </c>
      <c r="M103" s="27">
        <f>SUM(Tabla1[[#This Row],[TRIMESTRE  I]:[TRIMESTRE IV]])</f>
        <v>17160</v>
      </c>
      <c r="N103" s="12" t="s">
        <v>17</v>
      </c>
      <c r="O103" s="12" t="s">
        <v>334</v>
      </c>
      <c r="P103" s="8" t="s">
        <v>318</v>
      </c>
    </row>
    <row r="104" spans="1:16" ht="37.5" customHeight="1" x14ac:dyDescent="0.2">
      <c r="A104" s="3">
        <v>201</v>
      </c>
      <c r="B104" s="4" t="s">
        <v>316</v>
      </c>
      <c r="C104" s="5">
        <v>101</v>
      </c>
      <c r="D104" s="24" t="str">
        <f>IF(C104&lt;=0,"",VLOOKUP(C104,[2]FF!A:D,2,0))</f>
        <v>INGRESOS PROPIOS (IMPUESTOS, DERECHOS, PRODUCTOS Y APROVECHAMIENTOS)</v>
      </c>
      <c r="E104" s="5" t="s">
        <v>330</v>
      </c>
      <c r="F104" s="7" t="s">
        <v>15</v>
      </c>
      <c r="G104" s="8">
        <v>212001</v>
      </c>
      <c r="H104" s="25" t="str">
        <f>IF(G104&lt;=0,"",VLOOKUP(G104,[2]COG!A:H,2,0))</f>
        <v>Material y útiles de impresión</v>
      </c>
      <c r="I104" s="10">
        <v>3825</v>
      </c>
      <c r="J104" s="10">
        <v>3825</v>
      </c>
      <c r="K104" s="10">
        <v>3825</v>
      </c>
      <c r="L104" s="10">
        <v>3825</v>
      </c>
      <c r="M104" s="27">
        <f>SUM(Tabla1[[#This Row],[TRIMESTRE  I]:[TRIMESTRE IV]])</f>
        <v>15300</v>
      </c>
      <c r="N104" s="12" t="s">
        <v>319</v>
      </c>
      <c r="O104" s="12" t="s">
        <v>334</v>
      </c>
      <c r="P104" s="8" t="s">
        <v>320</v>
      </c>
    </row>
    <row r="105" spans="1:16" ht="37.5" customHeight="1" x14ac:dyDescent="0.2">
      <c r="A105" s="3">
        <v>201</v>
      </c>
      <c r="B105" s="4" t="s">
        <v>316</v>
      </c>
      <c r="C105" s="5">
        <v>101</v>
      </c>
      <c r="D105" s="24" t="str">
        <f>IF(C105&lt;=0,"",VLOOKUP(C105,[2]FF!A:D,2,0))</f>
        <v>INGRESOS PROPIOS (IMPUESTOS, DERECHOS, PRODUCTOS Y APROVECHAMIENTOS)</v>
      </c>
      <c r="E105" s="5" t="s">
        <v>330</v>
      </c>
      <c r="F105" s="7" t="s">
        <v>15</v>
      </c>
      <c r="G105" s="8">
        <v>214001</v>
      </c>
      <c r="H105" s="25" t="str">
        <f>IF(G105&lt;=0,"",VLOOKUP(G105,[2]COG!A:H,2,0))</f>
        <v>Materiales, útiles y equipos menores de tecnologías de la información y comunicaciones</v>
      </c>
      <c r="I105" s="10">
        <v>6375</v>
      </c>
      <c r="J105" s="10">
        <v>6375</v>
      </c>
      <c r="K105" s="10">
        <v>6375</v>
      </c>
      <c r="L105" s="10">
        <v>6375</v>
      </c>
      <c r="M105" s="27">
        <f>SUM(Tabla1[[#This Row],[TRIMESTRE  I]:[TRIMESTRE IV]])</f>
        <v>25500</v>
      </c>
      <c r="N105" s="12"/>
      <c r="O105" s="12"/>
      <c r="P105" s="8"/>
    </row>
    <row r="106" spans="1:16" ht="37.5" customHeight="1" x14ac:dyDescent="0.2">
      <c r="A106" s="3">
        <v>201</v>
      </c>
      <c r="B106" s="4" t="s">
        <v>316</v>
      </c>
      <c r="C106" s="5">
        <v>101</v>
      </c>
      <c r="D106" s="24" t="str">
        <f>IF(C106&lt;=0,"",VLOOKUP(C106,[2]FF!A:D,2,0))</f>
        <v>INGRESOS PROPIOS (IMPUESTOS, DERECHOS, PRODUCTOS Y APROVECHAMIENTOS)</v>
      </c>
      <c r="E106" s="5" t="s">
        <v>330</v>
      </c>
      <c r="F106" s="7" t="s">
        <v>15</v>
      </c>
      <c r="G106" s="8">
        <v>216001</v>
      </c>
      <c r="H106" s="25" t="str">
        <f>IF(G106&lt;=0,"",VLOOKUP(G106,[2]COG!A:H,2,0))</f>
        <v>Material de limpieza</v>
      </c>
      <c r="I106" s="10">
        <v>1500</v>
      </c>
      <c r="J106" s="10">
        <v>1500</v>
      </c>
      <c r="K106" s="10">
        <v>1500</v>
      </c>
      <c r="L106" s="10">
        <v>1500</v>
      </c>
      <c r="M106" s="27">
        <f>SUM(Tabla1[[#This Row],[TRIMESTRE  I]:[TRIMESTRE IV]])</f>
        <v>6000</v>
      </c>
      <c r="N106" s="12" t="s">
        <v>17</v>
      </c>
      <c r="O106" s="12" t="s">
        <v>334</v>
      </c>
      <c r="P106" s="8" t="s">
        <v>318</v>
      </c>
    </row>
    <row r="107" spans="1:16" ht="37.5" customHeight="1" x14ac:dyDescent="0.2">
      <c r="A107" s="3">
        <v>201</v>
      </c>
      <c r="B107" s="4" t="s">
        <v>316</v>
      </c>
      <c r="C107" s="5">
        <v>101</v>
      </c>
      <c r="D107" s="24" t="str">
        <f>IF(C107&lt;=0,"",VLOOKUP(C107,[2]FF!A:D,2,0))</f>
        <v>INGRESOS PROPIOS (IMPUESTOS, DERECHOS, PRODUCTOS Y APROVECHAMIENTOS)</v>
      </c>
      <c r="E107" s="5" t="s">
        <v>330</v>
      </c>
      <c r="F107" s="7" t="s">
        <v>15</v>
      </c>
      <c r="G107" s="8">
        <v>221001</v>
      </c>
      <c r="H107" s="25" t="str">
        <f>IF(G107&lt;=0,"",VLOOKUP(G107,[2]COG!A:H,2,0))</f>
        <v>Alimentación de personas</v>
      </c>
      <c r="I107" s="10">
        <v>0</v>
      </c>
      <c r="J107" s="10">
        <v>0</v>
      </c>
      <c r="K107" s="10">
        <v>6000</v>
      </c>
      <c r="L107" s="10">
        <v>5783</v>
      </c>
      <c r="M107" s="27">
        <f>SUM(Tabla1[[#This Row],[TRIMESTRE  I]:[TRIMESTRE IV]])</f>
        <v>11783</v>
      </c>
      <c r="N107" s="12" t="s">
        <v>321</v>
      </c>
      <c r="O107" s="12" t="s">
        <v>334</v>
      </c>
      <c r="P107" s="8" t="s">
        <v>322</v>
      </c>
    </row>
    <row r="108" spans="1:16" ht="37.5" customHeight="1" x14ac:dyDescent="0.2">
      <c r="A108" s="3">
        <v>201</v>
      </c>
      <c r="B108" s="4" t="s">
        <v>316</v>
      </c>
      <c r="C108" s="5">
        <v>101</v>
      </c>
      <c r="D108" s="24" t="str">
        <f>IF(C108&lt;=0,"",VLOOKUP(C108,[2]FF!A:D,2,0))</f>
        <v>INGRESOS PROPIOS (IMPUESTOS, DERECHOS, PRODUCTOS Y APROVECHAMIENTOS)</v>
      </c>
      <c r="E108" s="5" t="s">
        <v>330</v>
      </c>
      <c r="F108" s="7" t="s">
        <v>15</v>
      </c>
      <c r="G108" s="8">
        <v>261001</v>
      </c>
      <c r="H108" s="25" t="str">
        <f>IF(G108&lt;=0,"",VLOOKUP(G108,[2]COG!A:H,2,0))</f>
        <v>Combustibles</v>
      </c>
      <c r="I108" s="10">
        <v>11262</v>
      </c>
      <c r="J108" s="10">
        <v>11260</v>
      </c>
      <c r="K108" s="10">
        <v>11259</v>
      </c>
      <c r="L108" s="10">
        <v>11261</v>
      </c>
      <c r="M108" s="27">
        <f>SUM(Tabla1[[#This Row],[TRIMESTRE  I]:[TRIMESTRE IV]])</f>
        <v>45042</v>
      </c>
      <c r="N108" s="12" t="s">
        <v>17</v>
      </c>
      <c r="O108" s="13" t="s">
        <v>335</v>
      </c>
      <c r="P108" s="8" t="s">
        <v>318</v>
      </c>
    </row>
    <row r="109" spans="1:16" ht="37.5" customHeight="1" x14ac:dyDescent="0.2">
      <c r="A109" s="3">
        <v>201</v>
      </c>
      <c r="B109" s="4" t="s">
        <v>316</v>
      </c>
      <c r="C109" s="5">
        <v>101</v>
      </c>
      <c r="D109" s="24" t="str">
        <f>IF(C109&lt;=0,"",VLOOKUP(C109,[2]FF!A:D,2,0))</f>
        <v>INGRESOS PROPIOS (IMPUESTOS, DERECHOS, PRODUCTOS Y APROVECHAMIENTOS)</v>
      </c>
      <c r="E109" s="5" t="s">
        <v>330</v>
      </c>
      <c r="F109" s="7" t="s">
        <v>15</v>
      </c>
      <c r="G109" s="8">
        <v>271001</v>
      </c>
      <c r="H109" s="25" t="str">
        <f>IF(G109&lt;=0,"",VLOOKUP(G109,[2]COG!A:H,2,0))</f>
        <v>Ropa, vestuario y equipo</v>
      </c>
      <c r="I109" s="10">
        <v>0</v>
      </c>
      <c r="J109" s="10">
        <v>12000</v>
      </c>
      <c r="K109" s="10">
        <v>0</v>
      </c>
      <c r="L109" s="10">
        <v>0</v>
      </c>
      <c r="M109" s="27">
        <f>SUM(Tabla1[[#This Row],[TRIMESTRE  I]:[TRIMESTRE IV]])</f>
        <v>12000</v>
      </c>
      <c r="N109" s="12" t="s">
        <v>17</v>
      </c>
      <c r="O109" s="12" t="s">
        <v>335</v>
      </c>
      <c r="P109" s="8" t="s">
        <v>318</v>
      </c>
    </row>
    <row r="110" spans="1:16" ht="37.5" customHeight="1" x14ac:dyDescent="0.2">
      <c r="A110" s="3">
        <v>201</v>
      </c>
      <c r="B110" s="4" t="s">
        <v>316</v>
      </c>
      <c r="C110" s="5">
        <v>101</v>
      </c>
      <c r="D110" s="24" t="str">
        <f>IF(C110&lt;=0,"",VLOOKUP(C110,[2]FF!A:D,2,0))</f>
        <v>INGRESOS PROPIOS (IMPUESTOS, DERECHOS, PRODUCTOS Y APROVECHAMIENTOS)</v>
      </c>
      <c r="E110" s="5" t="s">
        <v>330</v>
      </c>
      <c r="F110" s="7" t="s">
        <v>22</v>
      </c>
      <c r="G110" s="8">
        <v>322001</v>
      </c>
      <c r="H110" s="25" t="str">
        <f>IF(G110&lt;=0,"",VLOOKUP(G110,[2]COG!A:H,2,0))</f>
        <v>Arrendamiento de edificios</v>
      </c>
      <c r="I110" s="10">
        <v>39091</v>
      </c>
      <c r="J110" s="10">
        <v>39091</v>
      </c>
      <c r="K110" s="10">
        <v>39091</v>
      </c>
      <c r="L110" s="10">
        <v>39091</v>
      </c>
      <c r="M110" s="27">
        <f>SUM(Tabla1[[#This Row],[TRIMESTRE  I]:[TRIMESTRE IV]])</f>
        <v>156364</v>
      </c>
      <c r="N110" s="12" t="s">
        <v>19</v>
      </c>
      <c r="O110" s="12" t="s">
        <v>335</v>
      </c>
      <c r="P110" s="8" t="s">
        <v>320</v>
      </c>
    </row>
    <row r="111" spans="1:16" ht="37.5" customHeight="1" x14ac:dyDescent="0.2">
      <c r="A111" s="3">
        <v>201</v>
      </c>
      <c r="B111" s="4" t="s">
        <v>316</v>
      </c>
      <c r="C111" s="5">
        <v>101</v>
      </c>
      <c r="D111" s="24" t="str">
        <f>IF(C111&lt;=0,"",VLOOKUP(C111,[2]FF!A:D,2,0))</f>
        <v>INGRESOS PROPIOS (IMPUESTOS, DERECHOS, PRODUCTOS Y APROVECHAMIENTOS)</v>
      </c>
      <c r="E111" s="5" t="s">
        <v>330</v>
      </c>
      <c r="F111" s="7" t="s">
        <v>22</v>
      </c>
      <c r="G111" s="8">
        <v>323001</v>
      </c>
      <c r="H111" s="25" t="str">
        <f>IF(G111&lt;=0,"",VLOOKUP(G111,[2]COG!A:H,2,0))</f>
        <v>Arrendamiento de maquinaria y equipo</v>
      </c>
      <c r="I111" s="10">
        <v>3000</v>
      </c>
      <c r="J111" s="10">
        <v>3000</v>
      </c>
      <c r="K111" s="10">
        <v>3000</v>
      </c>
      <c r="L111" s="10">
        <v>3000</v>
      </c>
      <c r="M111" s="27">
        <f>SUM(Tabla1[[#This Row],[TRIMESTRE  I]:[TRIMESTRE IV]])</f>
        <v>12000</v>
      </c>
      <c r="N111" s="12" t="s">
        <v>17</v>
      </c>
      <c r="O111" s="13" t="s">
        <v>335</v>
      </c>
      <c r="P111" s="8" t="s">
        <v>318</v>
      </c>
    </row>
    <row r="112" spans="1:16" ht="37.5" customHeight="1" x14ac:dyDescent="0.2">
      <c r="A112" s="3">
        <v>201</v>
      </c>
      <c r="B112" s="4" t="s">
        <v>316</v>
      </c>
      <c r="C112" s="5">
        <v>101</v>
      </c>
      <c r="D112" s="24" t="str">
        <f>IF(C112&lt;=0,"",VLOOKUP(C112,[2]FF!A:D,2,0))</f>
        <v>INGRESOS PROPIOS (IMPUESTOS, DERECHOS, PRODUCTOS Y APROVECHAMIENTOS)</v>
      </c>
      <c r="E112" s="5" t="s">
        <v>330</v>
      </c>
      <c r="F112" s="7" t="s">
        <v>22</v>
      </c>
      <c r="G112" s="8">
        <v>355001</v>
      </c>
      <c r="H112" s="25" t="str">
        <f>IF(G112&lt;=0,"",VLOOKUP(G112,[2]COG!A:H,2,0))</f>
        <v>Mantto. y conservación de vehículos terrestres, aéreos, marítimos, lacustres y fluviales</v>
      </c>
      <c r="I112" s="10">
        <v>4992</v>
      </c>
      <c r="J112" s="10">
        <v>5002</v>
      </c>
      <c r="K112" s="10">
        <v>5010</v>
      </c>
      <c r="L112" s="10">
        <v>4996</v>
      </c>
      <c r="M112" s="27">
        <f>SUM(Tabla1[[#This Row],[TRIMESTRE  I]:[TRIMESTRE IV]])</f>
        <v>20000</v>
      </c>
      <c r="N112" s="12" t="s">
        <v>321</v>
      </c>
      <c r="O112" s="12" t="s">
        <v>334</v>
      </c>
      <c r="P112" s="8" t="s">
        <v>322</v>
      </c>
    </row>
    <row r="113" spans="1:16" ht="37.5" customHeight="1" x14ac:dyDescent="0.2">
      <c r="A113" s="3">
        <v>201</v>
      </c>
      <c r="B113" s="4" t="s">
        <v>316</v>
      </c>
      <c r="C113" s="5">
        <v>101</v>
      </c>
      <c r="D113" s="24" t="str">
        <f>IF(C113&lt;=0,"",VLOOKUP(C113,[2]FF!A:D,2,0))</f>
        <v>INGRESOS PROPIOS (IMPUESTOS, DERECHOS, PRODUCTOS Y APROVECHAMIENTOS)</v>
      </c>
      <c r="E113" s="5" t="s">
        <v>330</v>
      </c>
      <c r="F113" s="7" t="s">
        <v>22</v>
      </c>
      <c r="G113" s="8">
        <v>361001</v>
      </c>
      <c r="H113" s="25" t="str">
        <f>IF(G113&lt;=0,"",VLOOKUP(G113,[2]COG!A:H,2,0))</f>
        <v>Gastos de difusión</v>
      </c>
      <c r="I113" s="10">
        <v>0</v>
      </c>
      <c r="J113" s="10">
        <v>0</v>
      </c>
      <c r="K113" s="10">
        <v>0</v>
      </c>
      <c r="L113" s="10">
        <v>11000</v>
      </c>
      <c r="M113" s="27">
        <f>SUM(Tabla1[[#This Row],[TRIMESTRE  I]:[TRIMESTRE IV]])</f>
        <v>11000</v>
      </c>
      <c r="N113" s="12"/>
      <c r="O113" s="12"/>
      <c r="P113" s="8"/>
    </row>
    <row r="114" spans="1:16" ht="37.5" customHeight="1" x14ac:dyDescent="0.2">
      <c r="A114" s="3">
        <v>201</v>
      </c>
      <c r="B114" s="4" t="s">
        <v>316</v>
      </c>
      <c r="C114" s="5">
        <v>101</v>
      </c>
      <c r="D114" s="24" t="str">
        <f>IF(C114&lt;=0,"",VLOOKUP(C114,[2]FF!A:D,2,0))</f>
        <v>INGRESOS PROPIOS (IMPUESTOS, DERECHOS, PRODUCTOS Y APROVECHAMIENTOS)</v>
      </c>
      <c r="E114" s="5" t="s">
        <v>330</v>
      </c>
      <c r="F114" s="7" t="s">
        <v>22</v>
      </c>
      <c r="G114" s="8">
        <v>371001</v>
      </c>
      <c r="H114" s="25" t="str">
        <f>IF(G114&lt;=0,"",VLOOKUP(G114,[2]COG!A:H,2,0))</f>
        <v>Pasajes aéreos</v>
      </c>
      <c r="I114" s="10">
        <v>6375</v>
      </c>
      <c r="J114" s="10">
        <v>6375</v>
      </c>
      <c r="K114" s="10">
        <v>6375</v>
      </c>
      <c r="L114" s="10">
        <v>6375</v>
      </c>
      <c r="M114" s="27">
        <f>SUM(Tabla1[[#This Row],[TRIMESTRE  I]:[TRIMESTRE IV]])</f>
        <v>25500</v>
      </c>
      <c r="N114" s="12" t="s">
        <v>17</v>
      </c>
      <c r="O114" s="12" t="s">
        <v>335</v>
      </c>
      <c r="P114" s="8" t="s">
        <v>318</v>
      </c>
    </row>
    <row r="115" spans="1:16" ht="37.5" customHeight="1" x14ac:dyDescent="0.2">
      <c r="A115" s="3">
        <v>201</v>
      </c>
      <c r="B115" s="4" t="s">
        <v>316</v>
      </c>
      <c r="C115" s="5">
        <v>101</v>
      </c>
      <c r="D115" s="24" t="str">
        <f>IF(C115&lt;=0,"",VLOOKUP(C115,[2]FF!A:D,2,0))</f>
        <v>INGRESOS PROPIOS (IMPUESTOS, DERECHOS, PRODUCTOS Y APROVECHAMIENTOS)</v>
      </c>
      <c r="E115" s="5" t="s">
        <v>330</v>
      </c>
      <c r="F115" s="7" t="s">
        <v>22</v>
      </c>
      <c r="G115" s="8">
        <v>375001</v>
      </c>
      <c r="H115" s="25" t="str">
        <f>IF(G115&lt;=0,"",VLOOKUP(G115,[2]COG!A:H,2,0))</f>
        <v>Viáticos</v>
      </c>
      <c r="I115" s="10">
        <v>2833</v>
      </c>
      <c r="J115" s="10">
        <v>2747</v>
      </c>
      <c r="K115" s="10">
        <v>9066</v>
      </c>
      <c r="L115" s="10">
        <v>5666</v>
      </c>
      <c r="M115" s="27">
        <f>SUM(Tabla1[[#This Row],[TRIMESTRE  I]:[TRIMESTRE IV]])</f>
        <v>20312</v>
      </c>
      <c r="N115" s="12"/>
      <c r="O115" s="12"/>
      <c r="P115" s="8"/>
    </row>
    <row r="116" spans="1:16" ht="37.5" customHeight="1" x14ac:dyDescent="0.2">
      <c r="A116" s="3">
        <v>201</v>
      </c>
      <c r="B116" s="4" t="s">
        <v>316</v>
      </c>
      <c r="C116" s="5">
        <v>101</v>
      </c>
      <c r="D116" s="24" t="str">
        <f>IF(C116&lt;=0,"",VLOOKUP(C116,[2]FF!A:D,2,0))</f>
        <v>INGRESOS PROPIOS (IMPUESTOS, DERECHOS, PRODUCTOS Y APROVECHAMIENTOS)</v>
      </c>
      <c r="E116" s="5" t="s">
        <v>330</v>
      </c>
      <c r="F116" s="7" t="s">
        <v>22</v>
      </c>
      <c r="G116" s="8">
        <v>382002</v>
      </c>
      <c r="H116" s="25" t="str">
        <f>IF(G116&lt;=0,"",VLOOKUP(G116,[2]COG!A:H,2,0))</f>
        <v>Gastos de recepción, conmemorativos y de orden social</v>
      </c>
      <c r="I116" s="10">
        <v>1000</v>
      </c>
      <c r="J116" s="10">
        <v>1000</v>
      </c>
      <c r="K116" s="10">
        <v>2000</v>
      </c>
      <c r="L116" s="10">
        <v>1000</v>
      </c>
      <c r="M116" s="27">
        <f>SUM(Tabla1[[#This Row],[TRIMESTRE  I]:[TRIMESTRE IV]])</f>
        <v>5000</v>
      </c>
      <c r="N116" s="12"/>
      <c r="O116" s="12"/>
      <c r="P116" s="8"/>
    </row>
    <row r="117" spans="1:16" ht="37.5" customHeight="1" x14ac:dyDescent="0.2">
      <c r="A117" s="3">
        <v>201</v>
      </c>
      <c r="B117" s="4" t="s">
        <v>316</v>
      </c>
      <c r="C117" s="5">
        <v>101</v>
      </c>
      <c r="D117" s="24" t="str">
        <f>IF(C117&lt;=0,"",VLOOKUP(C117,[2]FF!A:D,2,0))</f>
        <v>INGRESOS PROPIOS (IMPUESTOS, DERECHOS, PRODUCTOS Y APROVECHAMIENTOS)</v>
      </c>
      <c r="E117" s="5" t="s">
        <v>330</v>
      </c>
      <c r="F117" s="7" t="s">
        <v>22</v>
      </c>
      <c r="G117" s="8">
        <v>383001</v>
      </c>
      <c r="H117" s="25" t="str">
        <f>IF(G117&lt;=0,"",VLOOKUP(G117,[2]COG!A:H,2,0))</f>
        <v>Congresos y convenciones</v>
      </c>
      <c r="I117" s="10">
        <v>0</v>
      </c>
      <c r="J117" s="10">
        <v>4250</v>
      </c>
      <c r="K117" s="10">
        <v>4250</v>
      </c>
      <c r="L117" s="10">
        <v>4250</v>
      </c>
      <c r="M117" s="27">
        <f>SUM(Tabla1[[#This Row],[TRIMESTRE  I]:[TRIMESTRE IV]])</f>
        <v>12750</v>
      </c>
      <c r="N117" s="12"/>
      <c r="O117" s="12"/>
      <c r="P117" s="8"/>
    </row>
    <row r="118" spans="1:16" ht="37.5" customHeight="1" x14ac:dyDescent="0.2">
      <c r="A118" s="3">
        <v>201</v>
      </c>
      <c r="B118" s="4" t="s">
        <v>316</v>
      </c>
      <c r="C118" s="5">
        <v>101</v>
      </c>
      <c r="D118" s="24" t="str">
        <f>IF(C118&lt;=0,"",VLOOKUP(C118,[2]FF!A:D,2,0))</f>
        <v>INGRESOS PROPIOS (IMPUESTOS, DERECHOS, PRODUCTOS Y APROVECHAMIENTOS)</v>
      </c>
      <c r="E118" s="5" t="s">
        <v>331</v>
      </c>
      <c r="F118" s="7" t="s">
        <v>15</v>
      </c>
      <c r="G118" s="8">
        <v>211001</v>
      </c>
      <c r="H118" s="25" t="str">
        <f>IF(G118&lt;=0,"",VLOOKUP(G118,[2]COG!A:H,2,0))</f>
        <v>Material de oficina</v>
      </c>
      <c r="I118" s="10">
        <v>9740</v>
      </c>
      <c r="J118" s="10">
        <v>12942</v>
      </c>
      <c r="K118" s="10">
        <v>7259</v>
      </c>
      <c r="L118" s="10">
        <v>5559</v>
      </c>
      <c r="M118" s="27">
        <f>SUM(Tabla1[[#This Row],[TRIMESTRE  I]:[TRIMESTRE IV]])</f>
        <v>35500</v>
      </c>
      <c r="N118" s="12" t="s">
        <v>17</v>
      </c>
      <c r="O118" s="12" t="s">
        <v>334</v>
      </c>
      <c r="P118" s="8" t="s">
        <v>318</v>
      </c>
    </row>
    <row r="119" spans="1:16" ht="37.5" customHeight="1" x14ac:dyDescent="0.2">
      <c r="A119" s="3">
        <v>201</v>
      </c>
      <c r="B119" s="4" t="s">
        <v>316</v>
      </c>
      <c r="C119" s="5">
        <v>101</v>
      </c>
      <c r="D119" s="24" t="str">
        <f>IF(C119&lt;=0,"",VLOOKUP(C119,[2]FF!A:D,2,0))</f>
        <v>INGRESOS PROPIOS (IMPUESTOS, DERECHOS, PRODUCTOS Y APROVECHAMIENTOS)</v>
      </c>
      <c r="E119" s="5" t="s">
        <v>331</v>
      </c>
      <c r="F119" s="7" t="s">
        <v>15</v>
      </c>
      <c r="G119" s="8">
        <v>214001</v>
      </c>
      <c r="H119" s="25" t="str">
        <f>IF(G119&lt;=0,"",VLOOKUP(G119,[2]COG!A:H,2,0))</f>
        <v>Materiales, útiles y equipos menores de tecnologías de la información y comunicaciones</v>
      </c>
      <c r="I119" s="10">
        <v>15631</v>
      </c>
      <c r="J119" s="10">
        <v>25363</v>
      </c>
      <c r="K119" s="10">
        <v>16417</v>
      </c>
      <c r="L119" s="10">
        <v>16417</v>
      </c>
      <c r="M119" s="27">
        <f>SUM(Tabla1[[#This Row],[TRIMESTRE  I]:[TRIMESTRE IV]])</f>
        <v>73828</v>
      </c>
      <c r="N119" s="12"/>
      <c r="O119" s="12"/>
      <c r="P119" s="8"/>
    </row>
    <row r="120" spans="1:16" ht="37.5" customHeight="1" x14ac:dyDescent="0.2">
      <c r="A120" s="3">
        <v>201</v>
      </c>
      <c r="B120" s="4" t="s">
        <v>316</v>
      </c>
      <c r="C120" s="5">
        <v>101</v>
      </c>
      <c r="D120" s="24" t="str">
        <f>IF(C120&lt;=0,"",VLOOKUP(C120,[2]FF!A:D,2,0))</f>
        <v>INGRESOS PROPIOS (IMPUESTOS, DERECHOS, PRODUCTOS Y APROVECHAMIENTOS)</v>
      </c>
      <c r="E120" s="5" t="s">
        <v>331</v>
      </c>
      <c r="F120" s="7" t="s">
        <v>15</v>
      </c>
      <c r="G120" s="8">
        <v>216001</v>
      </c>
      <c r="H120" s="25" t="str">
        <f>IF(G120&lt;=0,"",VLOOKUP(G120,[2]COG!A:H,2,0))</f>
        <v>Material de limpieza</v>
      </c>
      <c r="I120" s="10">
        <v>1500</v>
      </c>
      <c r="J120" s="10">
        <v>1500</v>
      </c>
      <c r="K120" s="10">
        <v>1500</v>
      </c>
      <c r="L120" s="10">
        <v>1500</v>
      </c>
      <c r="M120" s="27">
        <f>SUM(Tabla1[[#This Row],[TRIMESTRE  I]:[TRIMESTRE IV]])</f>
        <v>6000</v>
      </c>
      <c r="N120" s="12" t="s">
        <v>17</v>
      </c>
      <c r="O120" s="12" t="s">
        <v>334</v>
      </c>
      <c r="P120" s="8" t="s">
        <v>318</v>
      </c>
    </row>
    <row r="121" spans="1:16" ht="37.5" customHeight="1" x14ac:dyDescent="0.2">
      <c r="A121" s="3">
        <v>201</v>
      </c>
      <c r="B121" s="4" t="s">
        <v>316</v>
      </c>
      <c r="C121" s="5">
        <v>101</v>
      </c>
      <c r="D121" s="24" t="str">
        <f>IF(C121&lt;=0,"",VLOOKUP(C121,[2]FF!A:D,2,0))</f>
        <v>INGRESOS PROPIOS (IMPUESTOS, DERECHOS, PRODUCTOS Y APROVECHAMIENTOS)</v>
      </c>
      <c r="E121" s="5" t="s">
        <v>331</v>
      </c>
      <c r="F121" s="7" t="s">
        <v>15</v>
      </c>
      <c r="G121" s="8">
        <v>261001</v>
      </c>
      <c r="H121" s="25" t="str">
        <f>IF(G121&lt;=0,"",VLOOKUP(G121,[2]COG!A:H,2,0))</f>
        <v>Combustibles</v>
      </c>
      <c r="I121" s="10">
        <v>13431</v>
      </c>
      <c r="J121" s="10">
        <v>13431</v>
      </c>
      <c r="K121" s="10">
        <v>10500</v>
      </c>
      <c r="L121" s="10">
        <v>10500</v>
      </c>
      <c r="M121" s="27">
        <f>SUM(Tabla1[[#This Row],[TRIMESTRE  I]:[TRIMESTRE IV]])</f>
        <v>47862</v>
      </c>
      <c r="N121" s="12" t="s">
        <v>17</v>
      </c>
      <c r="O121" s="13" t="s">
        <v>335</v>
      </c>
      <c r="P121" s="8" t="s">
        <v>318</v>
      </c>
    </row>
    <row r="122" spans="1:16" ht="37.5" customHeight="1" x14ac:dyDescent="0.2">
      <c r="A122" s="3">
        <v>201</v>
      </c>
      <c r="B122" s="4" t="s">
        <v>316</v>
      </c>
      <c r="C122" s="5">
        <v>101</v>
      </c>
      <c r="D122" s="24" t="str">
        <f>IF(C122&lt;=0,"",VLOOKUP(C122,[2]FF!A:D,2,0))</f>
        <v>INGRESOS PROPIOS (IMPUESTOS, DERECHOS, PRODUCTOS Y APROVECHAMIENTOS)</v>
      </c>
      <c r="E122" s="5" t="s">
        <v>331</v>
      </c>
      <c r="F122" s="7" t="s">
        <v>22</v>
      </c>
      <c r="G122" s="8">
        <v>314001</v>
      </c>
      <c r="H122" s="25" t="str">
        <f>IF(G122&lt;=0,"",VLOOKUP(G122,[2]COG!A:H,2,0))</f>
        <v>Servicio telefónico</v>
      </c>
      <c r="I122" s="10">
        <v>341</v>
      </c>
      <c r="J122" s="10">
        <v>1021</v>
      </c>
      <c r="K122" s="10">
        <v>226</v>
      </c>
      <c r="L122" s="10">
        <v>0</v>
      </c>
      <c r="M122" s="27">
        <f>SUM(Tabla1[[#This Row],[TRIMESTRE  I]:[TRIMESTRE IV]])</f>
        <v>1588</v>
      </c>
      <c r="N122" s="12"/>
      <c r="O122" s="12"/>
      <c r="P122" s="8"/>
    </row>
    <row r="123" spans="1:16" ht="37.5" customHeight="1" x14ac:dyDescent="0.2">
      <c r="A123" s="3">
        <v>201</v>
      </c>
      <c r="B123" s="4" t="s">
        <v>316</v>
      </c>
      <c r="C123" s="5">
        <v>101</v>
      </c>
      <c r="D123" s="24" t="str">
        <f>IF(C123&lt;=0,"",VLOOKUP(C123,[2]FF!A:D,2,0))</f>
        <v>INGRESOS PROPIOS (IMPUESTOS, DERECHOS, PRODUCTOS Y APROVECHAMIENTOS)</v>
      </c>
      <c r="E123" s="5" t="s">
        <v>331</v>
      </c>
      <c r="F123" s="7" t="s">
        <v>22</v>
      </c>
      <c r="G123" s="8">
        <v>322001</v>
      </c>
      <c r="H123" s="25" t="str">
        <f>IF(G123&lt;=0,"",VLOOKUP(G123,[2]COG!A:H,2,0))</f>
        <v>Arrendamiento de edificios</v>
      </c>
      <c r="I123" s="10">
        <v>39091</v>
      </c>
      <c r="J123" s="10">
        <v>39091</v>
      </c>
      <c r="K123" s="10">
        <v>39091</v>
      </c>
      <c r="L123" s="10">
        <v>39091</v>
      </c>
      <c r="M123" s="27">
        <f>SUM(Tabla1[[#This Row],[TRIMESTRE  I]:[TRIMESTRE IV]])</f>
        <v>156364</v>
      </c>
      <c r="N123" s="12" t="s">
        <v>19</v>
      </c>
      <c r="O123" s="12" t="s">
        <v>335</v>
      </c>
      <c r="P123" s="8" t="s">
        <v>320</v>
      </c>
    </row>
    <row r="124" spans="1:16" ht="37.5" customHeight="1" x14ac:dyDescent="0.2">
      <c r="A124" s="3">
        <v>201</v>
      </c>
      <c r="B124" s="4" t="s">
        <v>316</v>
      </c>
      <c r="C124" s="5">
        <v>101</v>
      </c>
      <c r="D124" s="24" t="str">
        <f>IF(C124&lt;=0,"",VLOOKUP(C124,[2]FF!A:D,2,0))</f>
        <v>INGRESOS PROPIOS (IMPUESTOS, DERECHOS, PRODUCTOS Y APROVECHAMIENTOS)</v>
      </c>
      <c r="E124" s="5" t="s">
        <v>331</v>
      </c>
      <c r="F124" s="7" t="s">
        <v>22</v>
      </c>
      <c r="G124" s="8">
        <v>323001</v>
      </c>
      <c r="H124" s="25" t="str">
        <f>IF(G124&lt;=0,"",VLOOKUP(G124,[2]COG!A:H,2,0))</f>
        <v>Arrendamiento de maquinaria y equipo</v>
      </c>
      <c r="I124" s="10">
        <v>20000</v>
      </c>
      <c r="J124" s="10">
        <v>40000</v>
      </c>
      <c r="K124" s="10">
        <v>20000</v>
      </c>
      <c r="L124" s="10">
        <v>20000</v>
      </c>
      <c r="M124" s="27">
        <f>SUM(Tabla1[[#This Row],[TRIMESTRE  I]:[TRIMESTRE IV]])</f>
        <v>100000</v>
      </c>
      <c r="N124" s="12" t="s">
        <v>17</v>
      </c>
      <c r="O124" s="13" t="s">
        <v>335</v>
      </c>
      <c r="P124" s="8" t="s">
        <v>318</v>
      </c>
    </row>
    <row r="125" spans="1:16" ht="37.5" customHeight="1" x14ac:dyDescent="0.2">
      <c r="A125" s="3">
        <v>201</v>
      </c>
      <c r="B125" s="4" t="s">
        <v>316</v>
      </c>
      <c r="C125" s="5">
        <v>101</v>
      </c>
      <c r="D125" s="24" t="str">
        <f>IF(C125&lt;=0,"",VLOOKUP(C125,[2]FF!A:D,2,0))</f>
        <v>INGRESOS PROPIOS (IMPUESTOS, DERECHOS, PRODUCTOS Y APROVECHAMIENTOS)</v>
      </c>
      <c r="E125" s="5" t="s">
        <v>331</v>
      </c>
      <c r="F125" s="7" t="s">
        <v>22</v>
      </c>
      <c r="G125" s="8">
        <v>371001</v>
      </c>
      <c r="H125" s="25" t="str">
        <f>IF(G125&lt;=0,"",VLOOKUP(G125,[2]COG!A:H,2,0))</f>
        <v>Pasajes aéreos</v>
      </c>
      <c r="I125" s="10">
        <v>8500</v>
      </c>
      <c r="J125" s="10">
        <v>20400</v>
      </c>
      <c r="K125" s="10">
        <v>5950</v>
      </c>
      <c r="L125" s="10">
        <v>7650</v>
      </c>
      <c r="M125" s="27">
        <f>SUM(Tabla1[[#This Row],[TRIMESTRE  I]:[TRIMESTRE IV]])</f>
        <v>42500</v>
      </c>
      <c r="N125" s="12" t="s">
        <v>17</v>
      </c>
      <c r="O125" s="12" t="s">
        <v>335</v>
      </c>
      <c r="P125" s="8" t="s">
        <v>318</v>
      </c>
    </row>
    <row r="126" spans="1:16" ht="37.5" customHeight="1" x14ac:dyDescent="0.2">
      <c r="A126" s="3">
        <v>201</v>
      </c>
      <c r="B126" s="4" t="s">
        <v>316</v>
      </c>
      <c r="C126" s="5">
        <v>101</v>
      </c>
      <c r="D126" s="24" t="str">
        <f>IF(C126&lt;=0,"",VLOOKUP(C126,[2]FF!A:D,2,0))</f>
        <v>INGRESOS PROPIOS (IMPUESTOS, DERECHOS, PRODUCTOS Y APROVECHAMIENTOS)</v>
      </c>
      <c r="E126" s="5" t="s">
        <v>331</v>
      </c>
      <c r="F126" s="7" t="s">
        <v>22</v>
      </c>
      <c r="G126" s="8">
        <v>375001</v>
      </c>
      <c r="H126" s="25" t="str">
        <f>IF(G126&lt;=0,"",VLOOKUP(G126,[2]COG!A:H,2,0))</f>
        <v>Viáticos</v>
      </c>
      <c r="I126" s="10">
        <v>13479</v>
      </c>
      <c r="J126" s="10">
        <v>21847</v>
      </c>
      <c r="K126" s="10">
        <v>8374</v>
      </c>
      <c r="L126" s="10">
        <v>8983</v>
      </c>
      <c r="M126" s="27">
        <f>SUM(Tabla1[[#This Row],[TRIMESTRE  I]:[TRIMESTRE IV]])</f>
        <v>52683</v>
      </c>
      <c r="N126" s="12"/>
      <c r="O126" s="12"/>
      <c r="P126" s="8"/>
    </row>
    <row r="127" spans="1:16" ht="37.5" customHeight="1" x14ac:dyDescent="0.2">
      <c r="A127" s="3">
        <v>201</v>
      </c>
      <c r="B127" s="4" t="s">
        <v>316</v>
      </c>
      <c r="C127" s="5">
        <v>101</v>
      </c>
      <c r="D127" s="24" t="str">
        <f>IF(C127&lt;=0,"",VLOOKUP(C127,[2]FF!A:D,2,0))</f>
        <v>INGRESOS PROPIOS (IMPUESTOS, DERECHOS, PRODUCTOS Y APROVECHAMIENTOS)</v>
      </c>
      <c r="E127" s="5" t="s">
        <v>331</v>
      </c>
      <c r="F127" s="7" t="s">
        <v>22</v>
      </c>
      <c r="G127" s="8">
        <v>383001</v>
      </c>
      <c r="H127" s="25" t="str">
        <f>IF(G127&lt;=0,"",VLOOKUP(G127,[2]COG!A:H,2,0))</f>
        <v>Congresos y convenciones</v>
      </c>
      <c r="I127" s="10">
        <v>18997</v>
      </c>
      <c r="J127" s="10">
        <v>33011</v>
      </c>
      <c r="K127" s="10">
        <v>12247</v>
      </c>
      <c r="L127" s="10">
        <v>13019</v>
      </c>
      <c r="M127" s="27">
        <f>SUM(Tabla1[[#This Row],[TRIMESTRE  I]:[TRIMESTRE IV]])</f>
        <v>77274</v>
      </c>
      <c r="N127" s="12"/>
      <c r="O127" s="12"/>
      <c r="P127" s="8"/>
    </row>
    <row r="128" spans="1:16" ht="37.5" customHeight="1" x14ac:dyDescent="0.2">
      <c r="A128" s="3">
        <v>202</v>
      </c>
      <c r="B128" s="4" t="s">
        <v>316</v>
      </c>
      <c r="C128" s="5">
        <v>101</v>
      </c>
      <c r="D128" s="24" t="str">
        <f>IF(C128&lt;=0,"",VLOOKUP(C128,[2]FF!A:D,2,0))</f>
        <v>INGRESOS PROPIOS (IMPUESTOS, DERECHOS, PRODUCTOS Y APROVECHAMIENTOS)</v>
      </c>
      <c r="E128" s="5" t="s">
        <v>332</v>
      </c>
      <c r="F128" s="7" t="s">
        <v>15</v>
      </c>
      <c r="G128" s="8">
        <v>211001</v>
      </c>
      <c r="H128" s="25" t="str">
        <f>IF(G128&lt;=0,"",VLOOKUP(G128,[2]COG!A:H,2,0))</f>
        <v>Material de oficina</v>
      </c>
      <c r="I128" s="10">
        <v>13268</v>
      </c>
      <c r="J128" s="10">
        <v>13269</v>
      </c>
      <c r="K128" s="10">
        <v>13267</v>
      </c>
      <c r="L128" s="10">
        <v>13267</v>
      </c>
      <c r="M128" s="27">
        <f>SUM(Tabla1[[#This Row],[TRIMESTRE  I]:[TRIMESTRE IV]])</f>
        <v>53071</v>
      </c>
      <c r="N128" s="12" t="s">
        <v>17</v>
      </c>
      <c r="O128" s="12" t="s">
        <v>334</v>
      </c>
      <c r="P128" s="8" t="s">
        <v>318</v>
      </c>
    </row>
    <row r="129" spans="1:16" ht="37.5" customHeight="1" x14ac:dyDescent="0.2">
      <c r="A129" s="3">
        <v>202</v>
      </c>
      <c r="B129" s="4" t="s">
        <v>316</v>
      </c>
      <c r="C129" s="5">
        <v>101</v>
      </c>
      <c r="D129" s="24" t="str">
        <f>IF(C129&lt;=0,"",VLOOKUP(C129,[2]FF!A:D,2,0))</f>
        <v>INGRESOS PROPIOS (IMPUESTOS, DERECHOS, PRODUCTOS Y APROVECHAMIENTOS)</v>
      </c>
      <c r="E129" s="5" t="s">
        <v>332</v>
      </c>
      <c r="F129" s="7" t="s">
        <v>15</v>
      </c>
      <c r="G129" s="8">
        <v>212001</v>
      </c>
      <c r="H129" s="25" t="str">
        <f>IF(G129&lt;=0,"",VLOOKUP(G129,[2]COG!A:H,2,0))</f>
        <v>Material y útiles de impresión</v>
      </c>
      <c r="I129" s="10">
        <v>7532</v>
      </c>
      <c r="J129" s="10">
        <v>7521</v>
      </c>
      <c r="K129" s="10">
        <v>7521</v>
      </c>
      <c r="L129" s="10">
        <v>7521</v>
      </c>
      <c r="M129" s="27">
        <f>SUM(Tabla1[[#This Row],[TRIMESTRE  I]:[TRIMESTRE IV]])</f>
        <v>30095</v>
      </c>
      <c r="N129" s="12" t="s">
        <v>319</v>
      </c>
      <c r="O129" s="12" t="s">
        <v>334</v>
      </c>
      <c r="P129" s="8" t="s">
        <v>320</v>
      </c>
    </row>
    <row r="130" spans="1:16" ht="37.5" customHeight="1" x14ac:dyDescent="0.2">
      <c r="A130" s="3">
        <v>202</v>
      </c>
      <c r="B130" s="4" t="s">
        <v>333</v>
      </c>
      <c r="C130" s="5">
        <v>101</v>
      </c>
      <c r="D130" s="6" t="str">
        <f>IF(C130&lt;=0,"",VLOOKUP(C130,[2]FF!A:D,2,0))</f>
        <v>INGRESOS PROPIOS (IMPUESTOS, DERECHOS, PRODUCTOS Y APROVECHAMIENTOS)</v>
      </c>
      <c r="E130" s="5" t="s">
        <v>332</v>
      </c>
      <c r="F130" s="7" t="s">
        <v>15</v>
      </c>
      <c r="G130" s="8">
        <v>215001</v>
      </c>
      <c r="H130" s="9" t="str">
        <f>IF(G130&lt;=0,"",VLOOKUP(G130,[2]COG!A:H,2,0))</f>
        <v>Material didáctico</v>
      </c>
      <c r="I130" s="10">
        <v>22698</v>
      </c>
      <c r="J130" s="10">
        <v>22698</v>
      </c>
      <c r="K130" s="10">
        <v>22698</v>
      </c>
      <c r="L130" s="10">
        <v>22698</v>
      </c>
      <c r="M130" s="11">
        <f>SUM(Tabla1[[#This Row],[TRIMESTRE  I]:[TRIMESTRE IV]])</f>
        <v>90792</v>
      </c>
      <c r="N130" s="12" t="s">
        <v>336</v>
      </c>
      <c r="O130" s="12"/>
      <c r="P130" s="8"/>
    </row>
    <row r="131" spans="1:16" ht="37.5" customHeight="1" x14ac:dyDescent="0.2">
      <c r="A131" s="3">
        <v>202</v>
      </c>
      <c r="B131" s="4" t="s">
        <v>316</v>
      </c>
      <c r="C131" s="5">
        <v>101</v>
      </c>
      <c r="D131" s="6" t="str">
        <f>IF(C131&lt;=0,"",VLOOKUP(C131,[2]FF!A:D,2,0))</f>
        <v>INGRESOS PROPIOS (IMPUESTOS, DERECHOS, PRODUCTOS Y APROVECHAMIENTOS)</v>
      </c>
      <c r="E131" s="5" t="s">
        <v>332</v>
      </c>
      <c r="F131" s="7" t="s">
        <v>15</v>
      </c>
      <c r="G131" s="8">
        <v>216001</v>
      </c>
      <c r="H131" s="9" t="str">
        <f>IF(G131&lt;=0,"",VLOOKUP(G131,[2]COG!A:H,2,0))</f>
        <v>Material de limpieza</v>
      </c>
      <c r="I131" s="10">
        <v>3196</v>
      </c>
      <c r="J131" s="10">
        <v>3195</v>
      </c>
      <c r="K131" s="10">
        <v>3195</v>
      </c>
      <c r="L131" s="10">
        <v>3195</v>
      </c>
      <c r="M131" s="11">
        <f>SUM(Tabla1[[#This Row],[TRIMESTRE  I]:[TRIMESTRE IV]])</f>
        <v>12781</v>
      </c>
      <c r="N131" s="12" t="s">
        <v>17</v>
      </c>
      <c r="O131" s="12" t="s">
        <v>334</v>
      </c>
      <c r="P131" s="8" t="s">
        <v>318</v>
      </c>
    </row>
    <row r="132" spans="1:16" ht="37.5" customHeight="1" x14ac:dyDescent="0.2">
      <c r="A132" s="3">
        <v>202</v>
      </c>
      <c r="B132" s="4" t="s">
        <v>316</v>
      </c>
      <c r="C132" s="5">
        <v>101</v>
      </c>
      <c r="D132" s="6" t="str">
        <f>IF(C132&lt;=0,"",VLOOKUP(C132,[2]FF!A:D,2,0))</f>
        <v>INGRESOS PROPIOS (IMPUESTOS, DERECHOS, PRODUCTOS Y APROVECHAMIENTOS)</v>
      </c>
      <c r="E132" s="5" t="s">
        <v>332</v>
      </c>
      <c r="F132" s="7" t="s">
        <v>15</v>
      </c>
      <c r="G132" s="8">
        <v>221001</v>
      </c>
      <c r="H132" s="9" t="str">
        <f>IF(G132&lt;=0,"",VLOOKUP(G132,[2]COG!A:H,2,0))</f>
        <v>Alimentación de personas</v>
      </c>
      <c r="I132" s="10">
        <v>4704</v>
      </c>
      <c r="J132" s="10">
        <v>4704</v>
      </c>
      <c r="K132" s="10">
        <v>4704</v>
      </c>
      <c r="L132" s="10">
        <v>4704</v>
      </c>
      <c r="M132" s="11">
        <f>SUM(Tabla1[[#This Row],[TRIMESTRE  I]:[TRIMESTRE IV]])</f>
        <v>18816</v>
      </c>
      <c r="N132" s="12" t="s">
        <v>321</v>
      </c>
      <c r="O132" s="12" t="s">
        <v>334</v>
      </c>
      <c r="P132" s="8" t="s">
        <v>322</v>
      </c>
    </row>
    <row r="133" spans="1:16" ht="37.5" customHeight="1" x14ac:dyDescent="0.2">
      <c r="A133" s="3">
        <v>202</v>
      </c>
      <c r="B133" s="4" t="s">
        <v>316</v>
      </c>
      <c r="C133" s="5">
        <v>101</v>
      </c>
      <c r="D133" s="6" t="str">
        <f>IF(C133&lt;=0,"",VLOOKUP(C133,[2]FF!A:D,2,0))</f>
        <v>INGRESOS PROPIOS (IMPUESTOS, DERECHOS, PRODUCTOS Y APROVECHAMIENTOS)</v>
      </c>
      <c r="E133" s="5" t="s">
        <v>332</v>
      </c>
      <c r="F133" s="7" t="s">
        <v>15</v>
      </c>
      <c r="G133" s="8">
        <v>246001</v>
      </c>
      <c r="H133" s="9" t="str">
        <f>IF(G133&lt;=0,"",VLOOKUP(G133,[2]COG!A:H,2,0))</f>
        <v>Material eléctrico</v>
      </c>
      <c r="I133" s="10">
        <v>723</v>
      </c>
      <c r="J133" s="10">
        <v>723</v>
      </c>
      <c r="K133" s="10">
        <v>723</v>
      </c>
      <c r="L133" s="10">
        <v>723</v>
      </c>
      <c r="M133" s="11">
        <f>SUM(Tabla1[[#This Row],[TRIMESTRE  I]:[TRIMESTRE IV]])</f>
        <v>2892</v>
      </c>
      <c r="N133" s="12"/>
      <c r="O133" s="12"/>
      <c r="P133" s="8"/>
    </row>
    <row r="134" spans="1:16" ht="37.5" customHeight="1" x14ac:dyDescent="0.2">
      <c r="A134" s="3">
        <v>202</v>
      </c>
      <c r="B134" s="4" t="s">
        <v>316</v>
      </c>
      <c r="C134" s="5">
        <v>101</v>
      </c>
      <c r="D134" s="6" t="str">
        <f>IF(C134&lt;=0,"",VLOOKUP(C134,[2]FF!A:D,2,0))</f>
        <v>INGRESOS PROPIOS (IMPUESTOS, DERECHOS, PRODUCTOS Y APROVECHAMIENTOS)</v>
      </c>
      <c r="E134" s="5" t="s">
        <v>332</v>
      </c>
      <c r="F134" s="7" t="s">
        <v>15</v>
      </c>
      <c r="G134" s="8">
        <v>261001</v>
      </c>
      <c r="H134" s="9" t="str">
        <f>IF(G134&lt;=0,"",VLOOKUP(G134,[2]COG!A:H,2,0))</f>
        <v>Combustibles</v>
      </c>
      <c r="I134" s="10">
        <v>97083</v>
      </c>
      <c r="J134" s="10">
        <v>97083</v>
      </c>
      <c r="K134" s="10">
        <v>97083</v>
      </c>
      <c r="L134" s="10">
        <v>97080</v>
      </c>
      <c r="M134" s="11">
        <f>SUM(Tabla1[[#This Row],[TRIMESTRE  I]:[TRIMESTRE IV]])</f>
        <v>388329</v>
      </c>
      <c r="N134" s="12" t="s">
        <v>17</v>
      </c>
      <c r="O134" s="13" t="s">
        <v>335</v>
      </c>
      <c r="P134" s="8" t="s">
        <v>318</v>
      </c>
    </row>
    <row r="135" spans="1:16" ht="37.5" customHeight="1" x14ac:dyDescent="0.2">
      <c r="A135" s="3">
        <v>202</v>
      </c>
      <c r="B135" s="4" t="s">
        <v>316</v>
      </c>
      <c r="C135" s="5">
        <v>101</v>
      </c>
      <c r="D135" s="6" t="str">
        <f>IF(C135&lt;=0,"",VLOOKUP(C135,[2]FF!A:D,2,0))</f>
        <v>INGRESOS PROPIOS (IMPUESTOS, DERECHOS, PRODUCTOS Y APROVECHAMIENTOS)</v>
      </c>
      <c r="E135" s="5" t="s">
        <v>332</v>
      </c>
      <c r="F135" s="7" t="s">
        <v>15</v>
      </c>
      <c r="G135" s="8">
        <v>271001</v>
      </c>
      <c r="H135" s="9" t="str">
        <f>IF(G135&lt;=0,"",VLOOKUP(G135,[2]COG!A:H,2,0))</f>
        <v>Ropa, vestuario y equipo</v>
      </c>
      <c r="I135" s="10">
        <v>5064</v>
      </c>
      <c r="J135" s="10">
        <v>5064</v>
      </c>
      <c r="K135" s="10">
        <v>5064</v>
      </c>
      <c r="L135" s="10">
        <v>5062</v>
      </c>
      <c r="M135" s="11">
        <f>SUM(Tabla1[[#This Row],[TRIMESTRE  I]:[TRIMESTRE IV]])</f>
        <v>20254</v>
      </c>
      <c r="N135" s="12" t="s">
        <v>17</v>
      </c>
      <c r="O135" s="12" t="s">
        <v>335</v>
      </c>
      <c r="P135" s="8" t="s">
        <v>318</v>
      </c>
    </row>
    <row r="136" spans="1:16" ht="37.5" customHeight="1" x14ac:dyDescent="0.2">
      <c r="A136" s="3">
        <v>202</v>
      </c>
      <c r="B136" s="4" t="s">
        <v>316</v>
      </c>
      <c r="C136" s="5">
        <v>101</v>
      </c>
      <c r="D136" s="6" t="str">
        <f>IF(C136&lt;=0,"",VLOOKUP(C136,[2]FF!A:D,2,0))</f>
        <v>INGRESOS PROPIOS (IMPUESTOS, DERECHOS, PRODUCTOS Y APROVECHAMIENTOS)</v>
      </c>
      <c r="E136" s="5" t="s">
        <v>332</v>
      </c>
      <c r="F136" s="7" t="s">
        <v>15</v>
      </c>
      <c r="G136" s="8">
        <v>296001</v>
      </c>
      <c r="H136" s="9" t="str">
        <f>IF(G136&lt;=0,"",VLOOKUP(G136,[2]COG!A:H,2,0))</f>
        <v>Herramientas, refacciones y accesorios</v>
      </c>
      <c r="I136" s="10">
        <v>2318</v>
      </c>
      <c r="J136" s="10">
        <v>2442</v>
      </c>
      <c r="K136" s="10">
        <v>2442</v>
      </c>
      <c r="L136" s="10">
        <v>2428</v>
      </c>
      <c r="M136" s="11">
        <f>SUM(Tabla1[[#This Row],[TRIMESTRE  I]:[TRIMESTRE IV]])</f>
        <v>9630</v>
      </c>
      <c r="N136" s="12" t="s">
        <v>19</v>
      </c>
      <c r="O136" s="12" t="s">
        <v>334</v>
      </c>
      <c r="P136" s="8" t="s">
        <v>320</v>
      </c>
    </row>
    <row r="137" spans="1:16" ht="37.5" customHeight="1" x14ac:dyDescent="0.2">
      <c r="A137" s="3">
        <v>202</v>
      </c>
      <c r="B137" s="4" t="s">
        <v>316</v>
      </c>
      <c r="C137" s="5">
        <v>101</v>
      </c>
      <c r="D137" s="6" t="str">
        <f>IF(C137&lt;=0,"",VLOOKUP(C137,[2]FF!A:D,2,0))</f>
        <v>INGRESOS PROPIOS (IMPUESTOS, DERECHOS, PRODUCTOS Y APROVECHAMIENTOS)</v>
      </c>
      <c r="E137" s="5" t="s">
        <v>332</v>
      </c>
      <c r="F137" s="7" t="s">
        <v>22</v>
      </c>
      <c r="G137" s="8">
        <v>311001</v>
      </c>
      <c r="H137" s="9" t="str">
        <f>IF(G137&lt;=0,"",VLOOKUP(G137,[2]COG!A:H,2,0))</f>
        <v>Servicio de energía eléctrica</v>
      </c>
      <c r="I137" s="10">
        <v>153543</v>
      </c>
      <c r="J137" s="10">
        <v>153543</v>
      </c>
      <c r="K137" s="10">
        <v>51181</v>
      </c>
      <c r="L137" s="10">
        <v>102364</v>
      </c>
      <c r="M137" s="11">
        <f>SUM(Tabla1[[#This Row],[TRIMESTRE  I]:[TRIMESTRE IV]])</f>
        <v>460631</v>
      </c>
      <c r="N137" s="12"/>
      <c r="O137" s="13"/>
      <c r="P137" s="8"/>
    </row>
    <row r="138" spans="1:16" ht="37.5" customHeight="1" x14ac:dyDescent="0.2">
      <c r="A138" s="3">
        <v>202</v>
      </c>
      <c r="B138" s="4" t="s">
        <v>316</v>
      </c>
      <c r="C138" s="5">
        <v>101</v>
      </c>
      <c r="D138" s="6" t="str">
        <f>IF(C138&lt;=0,"",VLOOKUP(C138,[2]FF!A:D,2,0))</f>
        <v>INGRESOS PROPIOS (IMPUESTOS, DERECHOS, PRODUCTOS Y APROVECHAMIENTOS)</v>
      </c>
      <c r="E138" s="5" t="s">
        <v>332</v>
      </c>
      <c r="F138" s="7" t="s">
        <v>22</v>
      </c>
      <c r="G138" s="8">
        <v>314001</v>
      </c>
      <c r="H138" s="9" t="str">
        <f>IF(G138&lt;=0,"",VLOOKUP(G138,[2]COG!A:H,2,0))</f>
        <v>Servicio telefónico</v>
      </c>
      <c r="I138" s="10">
        <v>267582</v>
      </c>
      <c r="J138" s="10">
        <v>268038</v>
      </c>
      <c r="K138" s="10">
        <v>268038</v>
      </c>
      <c r="L138" s="10">
        <v>268494</v>
      </c>
      <c r="M138" s="11">
        <f>SUM(Tabla1[[#This Row],[TRIMESTRE  I]:[TRIMESTRE IV]])</f>
        <v>1072152</v>
      </c>
      <c r="N138" s="12"/>
      <c r="O138" s="13"/>
      <c r="P138" s="8"/>
    </row>
    <row r="139" spans="1:16" ht="37.5" customHeight="1" x14ac:dyDescent="0.2">
      <c r="A139" s="3">
        <v>202</v>
      </c>
      <c r="B139" s="4" t="s">
        <v>316</v>
      </c>
      <c r="C139" s="5">
        <v>101</v>
      </c>
      <c r="D139" s="6" t="str">
        <f>IF(C139&lt;=0,"",VLOOKUP(C139,[2]FF!A:D,2,0))</f>
        <v>INGRESOS PROPIOS (IMPUESTOS, DERECHOS, PRODUCTOS Y APROVECHAMIENTOS)</v>
      </c>
      <c r="E139" s="5" t="s">
        <v>332</v>
      </c>
      <c r="F139" s="7" t="s">
        <v>22</v>
      </c>
      <c r="G139" s="8">
        <v>323001</v>
      </c>
      <c r="H139" s="9" t="str">
        <f>IF(G139&lt;=0,"",VLOOKUP(G139,[2]COG!A:H,2,0))</f>
        <v>Arrendamiento de maquinaria y equipo</v>
      </c>
      <c r="I139" s="10">
        <v>8505</v>
      </c>
      <c r="J139" s="10">
        <v>8505</v>
      </c>
      <c r="K139" s="10">
        <v>8505</v>
      </c>
      <c r="L139" s="10">
        <v>8504</v>
      </c>
      <c r="M139" s="11">
        <f>SUM(Tabla1[[#This Row],[TRIMESTRE  I]:[TRIMESTRE IV]])</f>
        <v>34019</v>
      </c>
      <c r="N139" s="12" t="s">
        <v>17</v>
      </c>
      <c r="O139" s="13" t="s">
        <v>335</v>
      </c>
      <c r="P139" s="8" t="s">
        <v>318</v>
      </c>
    </row>
    <row r="140" spans="1:16" ht="37.5" customHeight="1" x14ac:dyDescent="0.2">
      <c r="A140" s="3">
        <v>202</v>
      </c>
      <c r="B140" s="4" t="s">
        <v>316</v>
      </c>
      <c r="C140" s="5">
        <v>101</v>
      </c>
      <c r="D140" s="6" t="str">
        <f>IF(C140&lt;=0,"",VLOOKUP(C140,[2]FF!A:D,2,0))</f>
        <v>INGRESOS PROPIOS (IMPUESTOS, DERECHOS, PRODUCTOS Y APROVECHAMIENTOS)</v>
      </c>
      <c r="E140" s="5" t="s">
        <v>332</v>
      </c>
      <c r="F140" s="7" t="s">
        <v>22</v>
      </c>
      <c r="G140" s="8">
        <v>345001</v>
      </c>
      <c r="H140" s="9" t="str">
        <f>IF(G140&lt;=0,"",VLOOKUP(G140,[2]COG!A:H,2,0))</f>
        <v>Seguros</v>
      </c>
      <c r="I140" s="10">
        <v>1173</v>
      </c>
      <c r="J140" s="10">
        <v>1173</v>
      </c>
      <c r="K140" s="10">
        <v>1174</v>
      </c>
      <c r="L140" s="10">
        <v>1176</v>
      </c>
      <c r="M140" s="11">
        <f>SUM(Tabla1[[#This Row],[TRIMESTRE  I]:[TRIMESTRE IV]])</f>
        <v>4696</v>
      </c>
      <c r="N140" s="12" t="s">
        <v>17</v>
      </c>
      <c r="O140" s="13" t="s">
        <v>335</v>
      </c>
      <c r="P140" s="8" t="s">
        <v>318</v>
      </c>
    </row>
    <row r="141" spans="1:16" ht="37.5" customHeight="1" x14ac:dyDescent="0.2">
      <c r="A141" s="3">
        <v>202</v>
      </c>
      <c r="B141" s="4" t="s">
        <v>316</v>
      </c>
      <c r="C141" s="5">
        <v>101</v>
      </c>
      <c r="D141" s="6" t="str">
        <f>IF(C141&lt;=0,"",VLOOKUP(C141,[2]FF!A:D,2,0))</f>
        <v>INGRESOS PROPIOS (IMPUESTOS, DERECHOS, PRODUCTOS Y APROVECHAMIENTOS)</v>
      </c>
      <c r="E141" s="5" t="s">
        <v>332</v>
      </c>
      <c r="F141" s="7" t="s">
        <v>22</v>
      </c>
      <c r="G141" s="8">
        <v>352001</v>
      </c>
      <c r="H141" s="9" t="str">
        <f>IF(G141&lt;=0,"",VLOOKUP(G141,[2]COG!A:H,2,0))</f>
        <v>Mantenimiento de mobiliario y equipo</v>
      </c>
      <c r="I141" s="10">
        <v>435</v>
      </c>
      <c r="J141" s="10">
        <v>435</v>
      </c>
      <c r="K141" s="10">
        <v>435</v>
      </c>
      <c r="L141" s="10">
        <v>435</v>
      </c>
      <c r="M141" s="11">
        <f>SUM(Tabla1[[#This Row],[TRIMESTRE  I]:[TRIMESTRE IV]])</f>
        <v>1740</v>
      </c>
      <c r="N141" s="12"/>
      <c r="O141" s="13"/>
      <c r="P141" s="8"/>
    </row>
    <row r="142" spans="1:16" ht="37.5" customHeight="1" x14ac:dyDescent="0.2">
      <c r="A142" s="3">
        <v>202</v>
      </c>
      <c r="B142" s="4" t="s">
        <v>316</v>
      </c>
      <c r="C142" s="5">
        <v>101</v>
      </c>
      <c r="D142" s="6" t="str">
        <f>IF(C142&lt;=0,"",VLOOKUP(C142,[2]FF!A:D,2,0))</f>
        <v>INGRESOS PROPIOS (IMPUESTOS, DERECHOS, PRODUCTOS Y APROVECHAMIENTOS)</v>
      </c>
      <c r="E142" s="5" t="s">
        <v>332</v>
      </c>
      <c r="F142" s="7" t="s">
        <v>22</v>
      </c>
      <c r="G142" s="8">
        <v>355001</v>
      </c>
      <c r="H142" s="9" t="str">
        <f>IF(G142&lt;=0,"",VLOOKUP(G142,[2]COG!A:H,2,0))</f>
        <v>Mantto. y conservación de vehículos terrestres, aéreos, marítimos, lacustres y fluviales</v>
      </c>
      <c r="I142" s="10">
        <v>3207</v>
      </c>
      <c r="J142" s="10">
        <v>3207</v>
      </c>
      <c r="K142" s="10">
        <v>3207</v>
      </c>
      <c r="L142" s="10">
        <v>3207</v>
      </c>
      <c r="M142" s="11">
        <f>SUM(Tabla1[[#This Row],[TRIMESTRE  I]:[TRIMESTRE IV]])</f>
        <v>12828</v>
      </c>
      <c r="N142" s="12" t="s">
        <v>321</v>
      </c>
      <c r="O142" s="12" t="s">
        <v>334</v>
      </c>
      <c r="P142" s="8" t="s">
        <v>322</v>
      </c>
    </row>
    <row r="143" spans="1:16" ht="37.5" customHeight="1" x14ac:dyDescent="0.2">
      <c r="A143" s="3">
        <v>202</v>
      </c>
      <c r="B143" s="4" t="s">
        <v>316</v>
      </c>
      <c r="C143" s="5">
        <v>101</v>
      </c>
      <c r="D143" s="6" t="str">
        <f>IF(C143&lt;=0,"",VLOOKUP(C143,[2]FF!A:D,2,0))</f>
        <v>INGRESOS PROPIOS (IMPUESTOS, DERECHOS, PRODUCTOS Y APROVECHAMIENTOS)</v>
      </c>
      <c r="E143" s="5" t="s">
        <v>332</v>
      </c>
      <c r="F143" s="7" t="s">
        <v>22</v>
      </c>
      <c r="G143" s="8">
        <v>361001</v>
      </c>
      <c r="H143" s="9" t="str">
        <f>IF(G143&lt;=0,"",VLOOKUP(G143,[2]COG!A:H,2,0))</f>
        <v>Gastos de difusión</v>
      </c>
      <c r="I143" s="10">
        <v>9000000</v>
      </c>
      <c r="J143" s="10">
        <v>9000000</v>
      </c>
      <c r="K143" s="10">
        <v>9000000</v>
      </c>
      <c r="L143" s="10">
        <v>9000000</v>
      </c>
      <c r="M143" s="11">
        <f>SUM(Tabla1[[#This Row],[TRIMESTRE  I]:[TRIMESTRE IV]])</f>
        <v>36000000</v>
      </c>
      <c r="N143" s="12"/>
      <c r="O143" s="13"/>
      <c r="P143" s="8"/>
    </row>
    <row r="144" spans="1:16" ht="37.5" customHeight="1" x14ac:dyDescent="0.2">
      <c r="A144" s="3">
        <v>202</v>
      </c>
      <c r="B144" s="4" t="s">
        <v>316</v>
      </c>
      <c r="C144" s="5">
        <v>101</v>
      </c>
      <c r="D144" s="6" t="str">
        <f>IF(C144&lt;=0,"",VLOOKUP(C144,[2]FF!A:D,2,0))</f>
        <v>INGRESOS PROPIOS (IMPUESTOS, DERECHOS, PRODUCTOS Y APROVECHAMIENTOS)</v>
      </c>
      <c r="E144" s="5" t="s">
        <v>332</v>
      </c>
      <c r="F144" s="7" t="s">
        <v>22</v>
      </c>
      <c r="G144" s="8">
        <v>361002</v>
      </c>
      <c r="H144" s="9" t="str">
        <f>IF(G144&lt;=0,"",VLOOKUP(G144,[2]COG!A:H,2,0))</f>
        <v>Impresiones y publicaciones oficiales</v>
      </c>
      <c r="I144" s="10">
        <v>179684</v>
      </c>
      <c r="J144" s="10">
        <v>179566</v>
      </c>
      <c r="K144" s="10">
        <v>178107</v>
      </c>
      <c r="L144" s="10">
        <v>178094</v>
      </c>
      <c r="M144" s="11">
        <f>SUM(Tabla1[[#This Row],[TRIMESTRE  I]:[TRIMESTRE IV]])</f>
        <v>715451</v>
      </c>
      <c r="N144" s="12" t="s">
        <v>321</v>
      </c>
      <c r="O144" s="12" t="s">
        <v>334</v>
      </c>
      <c r="P144" s="8" t="s">
        <v>322</v>
      </c>
    </row>
    <row r="145" spans="1:16" ht="37.5" customHeight="1" x14ac:dyDescent="0.2">
      <c r="A145" s="3">
        <v>202</v>
      </c>
      <c r="B145" s="4" t="s">
        <v>316</v>
      </c>
      <c r="C145" s="5">
        <v>101</v>
      </c>
      <c r="D145" s="6" t="str">
        <f>IF(C145&lt;=0,"",VLOOKUP(C145,[2]FF!A:D,2,0))</f>
        <v>INGRESOS PROPIOS (IMPUESTOS, DERECHOS, PRODUCTOS Y APROVECHAMIENTOS)</v>
      </c>
      <c r="E145" s="5" t="s">
        <v>332</v>
      </c>
      <c r="F145" s="7" t="s">
        <v>22</v>
      </c>
      <c r="G145" s="8">
        <v>361003</v>
      </c>
      <c r="H145" s="9" t="str">
        <f>IF(G145&lt;=0,"",VLOOKUP(G145,[2]COG!A:H,2,0))</f>
        <v>Rotulaciones oficiales</v>
      </c>
      <c r="I145" s="10">
        <v>24284</v>
      </c>
      <c r="J145" s="10">
        <v>24268</v>
      </c>
      <c r="K145" s="10">
        <v>24071</v>
      </c>
      <c r="L145" s="10">
        <v>24067</v>
      </c>
      <c r="M145" s="11">
        <f>SUM(Tabla1[[#This Row],[TRIMESTRE  I]:[TRIMESTRE IV]])</f>
        <v>96690</v>
      </c>
      <c r="N145" s="12"/>
      <c r="O145" s="13"/>
      <c r="P145" s="8"/>
    </row>
    <row r="146" spans="1:16" ht="37.5" customHeight="1" x14ac:dyDescent="0.2">
      <c r="A146" s="3">
        <v>202</v>
      </c>
      <c r="B146" s="4" t="s">
        <v>316</v>
      </c>
      <c r="C146" s="5">
        <v>101</v>
      </c>
      <c r="D146" s="6" t="str">
        <f>IF(C146&lt;=0,"",VLOOKUP(C146,[2]FF!A:D,2,0))</f>
        <v>INGRESOS PROPIOS (IMPUESTOS, DERECHOS, PRODUCTOS Y APROVECHAMIENTOS)</v>
      </c>
      <c r="E146" s="5" t="s">
        <v>332</v>
      </c>
      <c r="F146" s="7" t="s">
        <v>22</v>
      </c>
      <c r="G146" s="8">
        <v>371001</v>
      </c>
      <c r="H146" s="9" t="str">
        <f>IF(G146&lt;=0,"",VLOOKUP(G146,[2]COG!A:H,2,0))</f>
        <v>Pasajes aéreos</v>
      </c>
      <c r="I146" s="10">
        <v>23998</v>
      </c>
      <c r="J146" s="10">
        <v>12113</v>
      </c>
      <c r="K146" s="10">
        <v>26854</v>
      </c>
      <c r="L146" s="10">
        <v>25163</v>
      </c>
      <c r="M146" s="11">
        <f>SUM(Tabla1[[#This Row],[TRIMESTRE  I]:[TRIMESTRE IV]])</f>
        <v>88128</v>
      </c>
      <c r="N146" s="12" t="s">
        <v>17</v>
      </c>
      <c r="O146" s="12" t="s">
        <v>335</v>
      </c>
      <c r="P146" s="8" t="s">
        <v>318</v>
      </c>
    </row>
    <row r="147" spans="1:16" ht="37.5" customHeight="1" x14ac:dyDescent="0.2">
      <c r="A147" s="3">
        <v>202</v>
      </c>
      <c r="B147" s="4" t="s">
        <v>316</v>
      </c>
      <c r="C147" s="5">
        <v>101</v>
      </c>
      <c r="D147" s="6" t="str">
        <f>IF(C147&lt;=0,"",VLOOKUP(C147,[2]FF!A:D,2,0))</f>
        <v>INGRESOS PROPIOS (IMPUESTOS, DERECHOS, PRODUCTOS Y APROVECHAMIENTOS)</v>
      </c>
      <c r="E147" s="5" t="s">
        <v>332</v>
      </c>
      <c r="F147" s="7" t="s">
        <v>22</v>
      </c>
      <c r="G147" s="8">
        <v>375001</v>
      </c>
      <c r="H147" s="9" t="str">
        <f>IF(G147&lt;=0,"",VLOOKUP(G147,[2]COG!A:H,2,0))</f>
        <v>Viáticos</v>
      </c>
      <c r="I147" s="10">
        <v>59499</v>
      </c>
      <c r="J147" s="10">
        <v>59499</v>
      </c>
      <c r="K147" s="10">
        <v>59499</v>
      </c>
      <c r="L147" s="10">
        <v>59499</v>
      </c>
      <c r="M147" s="11">
        <f>SUM(Tabla1[[#This Row],[TRIMESTRE  I]:[TRIMESTRE IV]])</f>
        <v>237996</v>
      </c>
      <c r="N147" s="12"/>
      <c r="O147" s="12"/>
      <c r="P147" s="8"/>
    </row>
    <row r="148" spans="1:16" ht="37.5" customHeight="1" x14ac:dyDescent="0.2">
      <c r="A148" s="3">
        <v>202</v>
      </c>
      <c r="B148" s="4" t="s">
        <v>316</v>
      </c>
      <c r="C148" s="5">
        <v>101</v>
      </c>
      <c r="D148" s="6" t="str">
        <f>IF(C148&lt;=0,"",VLOOKUP(C148,[2]FF!A:D,2,0))</f>
        <v>INGRESOS PROPIOS (IMPUESTOS, DERECHOS, PRODUCTOS Y APROVECHAMIENTOS)</v>
      </c>
      <c r="E148" s="5" t="s">
        <v>332</v>
      </c>
      <c r="F148" s="7" t="s">
        <v>22</v>
      </c>
      <c r="G148" s="8">
        <v>382002</v>
      </c>
      <c r="H148" s="9" t="str">
        <f>IF(G148&lt;=0,"",VLOOKUP(G148,[2]COG!A:H,2,0))</f>
        <v>Gastos de recepción, conmemorativos y de orden social</v>
      </c>
      <c r="I148" s="10">
        <v>87699</v>
      </c>
      <c r="J148" s="10">
        <v>87640</v>
      </c>
      <c r="K148" s="10">
        <v>86929</v>
      </c>
      <c r="L148" s="10">
        <v>86931</v>
      </c>
      <c r="M148" s="11">
        <f>SUM(Tabla1[[#This Row],[TRIMESTRE  I]:[TRIMESTRE IV]])</f>
        <v>349199</v>
      </c>
      <c r="N148" s="12"/>
      <c r="O148" s="12"/>
      <c r="P148" s="8"/>
    </row>
    <row r="149" spans="1:16" ht="18.75" customHeight="1" x14ac:dyDescent="0.2">
      <c r="A149" s="3"/>
      <c r="B149" s="4"/>
      <c r="C149" s="5"/>
      <c r="D149" s="6" t="str">
        <f>IF(C149&lt;=0,"",VLOOKUP(C149,[2]FF!A:D,2,0))</f>
        <v/>
      </c>
      <c r="E149" s="5"/>
      <c r="F149" s="7"/>
      <c r="G149" s="8"/>
      <c r="H149" s="9" t="str">
        <f>IF(G149&lt;=0,"",VLOOKUP(G149,[2]COG!A:H,2,0))</f>
        <v/>
      </c>
      <c r="I149" s="10"/>
      <c r="J149" s="10"/>
      <c r="K149" s="10"/>
      <c r="L149" s="10"/>
      <c r="M149" s="11"/>
      <c r="N149" s="12"/>
      <c r="O149" s="13"/>
      <c r="P149" s="8"/>
    </row>
    <row r="150" spans="1:16" ht="20.25" customHeight="1" x14ac:dyDescent="0.2">
      <c r="A150" s="35"/>
      <c r="B150" s="35"/>
      <c r="C150" s="35"/>
      <c r="D150" s="36"/>
      <c r="E150" s="35"/>
      <c r="F150" s="35"/>
      <c r="G150" s="35"/>
      <c r="H150" s="37" t="s">
        <v>32</v>
      </c>
      <c r="I150" s="38"/>
      <c r="J150" s="38"/>
      <c r="K150" s="38"/>
      <c r="L150" s="38"/>
      <c r="M150" s="39">
        <f>SUBTOTAL(109,Tabla1[[PRESUPUESTO ANUAL AUTORIZADO ]])</f>
        <v>48357934</v>
      </c>
      <c r="N150" s="40"/>
      <c r="O150" s="40"/>
      <c r="P150" s="35"/>
    </row>
    <row r="151" spans="1:16" ht="37.5" customHeight="1" x14ac:dyDescent="0.25">
      <c r="C151"/>
      <c r="D151"/>
      <c r="E151"/>
      <c r="F151"/>
      <c r="G151"/>
      <c r="H151"/>
      <c r="I151"/>
      <c r="J151"/>
      <c r="K151"/>
      <c r="L151"/>
      <c r="N151" s="48"/>
    </row>
    <row r="152" spans="1:16" ht="13.5" customHeight="1" x14ac:dyDescent="0.25">
      <c r="C152"/>
      <c r="D152"/>
      <c r="E152"/>
      <c r="F152"/>
      <c r="G152"/>
      <c r="H152"/>
      <c r="I152"/>
      <c r="J152"/>
      <c r="K152"/>
      <c r="L152"/>
      <c r="M152" s="29"/>
    </row>
    <row r="153" spans="1:16" ht="37.5" customHeight="1" x14ac:dyDescent="0.25">
      <c r="C153"/>
      <c r="D153"/>
      <c r="E153"/>
      <c r="F153"/>
      <c r="G153"/>
      <c r="H153"/>
      <c r="I153"/>
      <c r="J153"/>
      <c r="K153"/>
      <c r="L153"/>
    </row>
    <row r="154" spans="1:16" ht="37.5" customHeight="1" x14ac:dyDescent="0.25">
      <c r="C154"/>
      <c r="D154"/>
      <c r="E154"/>
      <c r="F154"/>
      <c r="G154"/>
      <c r="H154"/>
      <c r="I154"/>
      <c r="J154"/>
      <c r="K154"/>
      <c r="L154"/>
    </row>
  </sheetData>
  <protectedRanges>
    <protectedRange algorithmName="SHA-512" hashValue="Lst7hsT/mUUQvFsOUalIdMZhSjExDj/C7u4r1gIjHREwBj16N7lqODQ0CY6n+RXalo774Zm4aYZKVBS0n4XIeg==" saltValue="KfnRR/cqfK967zBK52Zr6A==" spinCount="100000" sqref="A5:C150" name="EDITABLE 1"/>
    <protectedRange algorithmName="SHA-512" hashValue="pJNw8ysPJcfMEDlzTgza0siiHuU4FkUpIzbuTX325DFaYD5nL5ng0z0JoIGpE+CYch2hq/LccMqSM51MpHojPQ==" saltValue="xv9nj4u85CXs/Kmy5tmlKw==" spinCount="100000" sqref="E5:G150" name="EDITABLE 2"/>
    <protectedRange algorithmName="SHA-512" hashValue="ytsoXFfC1+WmXVaa1/e6XfcZ7vPjNmSnuZe33NqN4NcqbRxNJdzSGuklMRpskJNPYNNz1yZQe585JE4aSLisOg==" saltValue="/jSLFmNX0mB2vn2qhSJbtw==" spinCount="100000" sqref="I5:L150" name="EDITABLE 3"/>
    <protectedRange algorithmName="SHA-512" hashValue="CVDb5J/0TlFD03lqit9XaA7LbCMGvWLCsduA3v8dImZEGhWfzgZ6Dg6bkjbAbJm1bYAcMLcpovU/dJmuMze5jw==" saltValue="QZ4X9aU2cO4/tAPW6011Dw==" spinCount="100000" sqref="N5:P150" name="EDITABLE 4"/>
  </protectedRanges>
  <mergeCells count="3">
    <mergeCell ref="A1:P1"/>
    <mergeCell ref="A2:P2"/>
    <mergeCell ref="A3:P3"/>
  </mergeCells>
  <dataValidations count="2">
    <dataValidation type="list" allowBlank="1" showInputMessage="1" showErrorMessage="1" sqref="G5:G149" xr:uid="{08E15030-D3BE-4CDB-9DB6-F0A6DD42855E}">
      <formula1>INDIRECT(F5)</formula1>
    </dataValidation>
    <dataValidation type="list" allowBlank="1" showInputMessage="1" showErrorMessage="1" sqref="F5:F149" xr:uid="{DCA21081-0B0A-4C9E-8676-13CD491128FF}">
      <formula1>CAPITULOS</formula1>
    </dataValidation>
  </dataValidations>
  <pageMargins left="0.70866141732283472" right="0.70866141732283472" top="0.74803149606299213" bottom="0.74803149606299213" header="0.31496062992125984" footer="0.31496062992125984"/>
  <pageSetup paperSize="5" scale="59" fitToHeight="0" orientation="landscape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C868B3-8736-4A10-8B19-A709304F505F}">
  <sheetPr>
    <tabColor rgb="FF00B050"/>
  </sheetPr>
  <dimension ref="A1:P146"/>
  <sheetViews>
    <sheetView showGridLines="0" zoomScaleNormal="100" zoomScaleSheetLayoutView="80" workbookViewId="0">
      <selection activeCell="C14" sqref="C14"/>
    </sheetView>
  </sheetViews>
  <sheetFormatPr baseColWidth="10" defaultColWidth="11.42578125" defaultRowHeight="37.5" customHeight="1" x14ac:dyDescent="0.2"/>
  <cols>
    <col min="1" max="1" width="10.28515625" style="1" customWidth="1"/>
    <col min="2" max="2" width="17.5703125" style="1" customWidth="1"/>
    <col min="3" max="3" width="18.140625" style="1" customWidth="1"/>
    <col min="4" max="4" width="17.42578125" style="1" customWidth="1"/>
    <col min="5" max="5" width="14.7109375" style="1" customWidth="1"/>
    <col min="6" max="6" width="11.140625" style="1" customWidth="1"/>
    <col min="7" max="7" width="13" style="1" customWidth="1"/>
    <col min="8" max="8" width="27.5703125" style="1" customWidth="1"/>
    <col min="9" max="12" width="11.140625" style="1" customWidth="1"/>
    <col min="13" max="13" width="19" style="1" customWidth="1"/>
    <col min="14" max="15" width="21.7109375" style="1" customWidth="1"/>
    <col min="16" max="16" width="26.140625" style="1" customWidth="1"/>
    <col min="17" max="16384" width="11.42578125" style="1"/>
  </cols>
  <sheetData>
    <row r="1" spans="1:16" ht="22.5" customHeight="1" x14ac:dyDescent="0.2">
      <c r="A1" s="115" t="s">
        <v>24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</row>
    <row r="2" spans="1:16" ht="18.75" customHeight="1" x14ac:dyDescent="0.2">
      <c r="A2" s="116" t="s">
        <v>33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</row>
    <row r="3" spans="1:16" ht="32.25" customHeight="1" x14ac:dyDescent="0.2">
      <c r="A3" s="117" t="s">
        <v>25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</row>
    <row r="4" spans="1:16" s="2" customFormat="1" ht="48" customHeight="1" x14ac:dyDescent="0.2">
      <c r="A4" s="72" t="s">
        <v>0</v>
      </c>
      <c r="B4" s="72" t="s">
        <v>1</v>
      </c>
      <c r="C4" s="72" t="s">
        <v>2</v>
      </c>
      <c r="D4" s="72" t="s">
        <v>3</v>
      </c>
      <c r="E4" s="72" t="s">
        <v>4</v>
      </c>
      <c r="F4" s="72" t="s">
        <v>5</v>
      </c>
      <c r="G4" s="72" t="s">
        <v>6</v>
      </c>
      <c r="H4" s="72" t="s">
        <v>7</v>
      </c>
      <c r="I4" s="72" t="s">
        <v>26</v>
      </c>
      <c r="J4" s="72" t="s">
        <v>8</v>
      </c>
      <c r="K4" s="72" t="s">
        <v>9</v>
      </c>
      <c r="L4" s="72" t="s">
        <v>10</v>
      </c>
      <c r="M4" s="72" t="s">
        <v>27</v>
      </c>
      <c r="N4" s="72" t="s">
        <v>11</v>
      </c>
      <c r="O4" s="72" t="s">
        <v>12</v>
      </c>
      <c r="P4" s="72" t="s">
        <v>13</v>
      </c>
    </row>
    <row r="5" spans="1:16" ht="37.5" customHeight="1" x14ac:dyDescent="0.2">
      <c r="A5" s="20">
        <v>1500</v>
      </c>
      <c r="B5" s="21" t="s">
        <v>34</v>
      </c>
      <c r="C5" s="7">
        <v>530</v>
      </c>
      <c r="D5" s="6" t="str">
        <f>IF(C5&lt;=0,"",VLOOKUP(C5,[1]FF!A:D,2,0))</f>
        <v>PARTICIPACIONES Ramo 28</v>
      </c>
      <c r="E5" s="7" t="s">
        <v>35</v>
      </c>
      <c r="F5" s="7" t="s">
        <v>15</v>
      </c>
      <c r="G5" s="7">
        <v>211001</v>
      </c>
      <c r="H5" s="9" t="str">
        <f>IF(G5&lt;=0,"",VLOOKUP(G5,[1]COG!A:H,2,0))</f>
        <v>Material de oficina</v>
      </c>
      <c r="I5" s="10">
        <v>4000</v>
      </c>
      <c r="J5" s="10">
        <v>4000</v>
      </c>
      <c r="K5" s="10">
        <v>8000</v>
      </c>
      <c r="L5" s="10">
        <v>8000</v>
      </c>
      <c r="M5" s="11">
        <f>SUM(Tabla13[[#This Row],[TRIMESTRE  I]:[TRIMESTRE IV]])</f>
        <v>24000</v>
      </c>
      <c r="N5" s="10" t="s">
        <v>17</v>
      </c>
      <c r="O5" s="22" t="s">
        <v>36</v>
      </c>
      <c r="P5" s="23" t="s">
        <v>37</v>
      </c>
    </row>
    <row r="6" spans="1:16" ht="37.5" customHeight="1" x14ac:dyDescent="0.2">
      <c r="A6" s="20">
        <v>1500</v>
      </c>
      <c r="B6" s="21" t="s">
        <v>34</v>
      </c>
      <c r="C6" s="7">
        <v>530</v>
      </c>
      <c r="D6" s="6" t="str">
        <f>IF(C6&lt;=0,"",VLOOKUP(C6,[1]FF!A:D,2,0))</f>
        <v>PARTICIPACIONES Ramo 28</v>
      </c>
      <c r="E6" s="7" t="s">
        <v>38</v>
      </c>
      <c r="F6" s="7" t="s">
        <v>15</v>
      </c>
      <c r="G6" s="7">
        <v>211001</v>
      </c>
      <c r="H6" s="9" t="str">
        <f>IF(G6&lt;=0,"",VLOOKUP(G6,[1]COG!A:H,2,0))</f>
        <v>Material de oficina</v>
      </c>
      <c r="I6" s="10">
        <v>5000</v>
      </c>
      <c r="J6" s="10">
        <v>5000</v>
      </c>
      <c r="K6" s="10">
        <v>12000</v>
      </c>
      <c r="L6" s="10">
        <v>11000</v>
      </c>
      <c r="M6" s="11">
        <f>SUM(Tabla13[[#This Row],[TRIMESTRE  I]:[TRIMESTRE IV]])</f>
        <v>33000</v>
      </c>
      <c r="N6" s="10" t="s">
        <v>17</v>
      </c>
      <c r="O6" s="22" t="s">
        <v>36</v>
      </c>
      <c r="P6" s="23" t="s">
        <v>37</v>
      </c>
    </row>
    <row r="7" spans="1:16" ht="37.5" customHeight="1" x14ac:dyDescent="0.2">
      <c r="A7" s="20">
        <v>1500</v>
      </c>
      <c r="B7" s="21" t="s">
        <v>34</v>
      </c>
      <c r="C7" s="7">
        <v>530</v>
      </c>
      <c r="D7" s="6" t="str">
        <f>IF(C7&lt;=0,"",VLOOKUP(C7,[1]FF!A:D,2,0))</f>
        <v>PARTICIPACIONES Ramo 28</v>
      </c>
      <c r="E7" s="7" t="s">
        <v>39</v>
      </c>
      <c r="F7" s="7" t="s">
        <v>15</v>
      </c>
      <c r="G7" s="7">
        <v>211001</v>
      </c>
      <c r="H7" s="9" t="str">
        <f>IF(G7&lt;=0,"",VLOOKUP(G7,[1]COG!A:H,2,0))</f>
        <v>Material de oficina</v>
      </c>
      <c r="I7" s="10">
        <v>4000</v>
      </c>
      <c r="J7" s="10">
        <v>4000</v>
      </c>
      <c r="K7" s="10">
        <v>5000</v>
      </c>
      <c r="L7" s="10">
        <v>6000</v>
      </c>
      <c r="M7" s="11">
        <f>SUM(Tabla13[[#This Row],[TRIMESTRE  I]:[TRIMESTRE IV]])</f>
        <v>19000</v>
      </c>
      <c r="N7" s="10" t="s">
        <v>17</v>
      </c>
      <c r="O7" s="22" t="s">
        <v>36</v>
      </c>
      <c r="P7" s="23" t="s">
        <v>37</v>
      </c>
    </row>
    <row r="8" spans="1:16" ht="37.5" customHeight="1" x14ac:dyDescent="0.2">
      <c r="A8" s="20">
        <v>1500</v>
      </c>
      <c r="B8" s="21" t="s">
        <v>34</v>
      </c>
      <c r="C8" s="7">
        <v>530</v>
      </c>
      <c r="D8" s="6" t="str">
        <f>IF(C8&lt;=0,"",VLOOKUP(C8,[1]FF!A:D,2,0))</f>
        <v>PARTICIPACIONES Ramo 28</v>
      </c>
      <c r="E8" s="7" t="s">
        <v>40</v>
      </c>
      <c r="F8" s="7" t="s">
        <v>15</v>
      </c>
      <c r="G8" s="7">
        <v>211001</v>
      </c>
      <c r="H8" s="9" t="str">
        <f>IF(G8&lt;=0,"",VLOOKUP(G8,[1]COG!A:H,2,0))</f>
        <v>Material de oficina</v>
      </c>
      <c r="I8" s="10">
        <v>2000</v>
      </c>
      <c r="J8" s="10">
        <v>3000</v>
      </c>
      <c r="K8" s="10">
        <v>5000</v>
      </c>
      <c r="L8" s="10">
        <v>6000</v>
      </c>
      <c r="M8" s="11">
        <f>SUM(Tabla13[[#This Row],[TRIMESTRE  I]:[TRIMESTRE IV]])</f>
        <v>16000</v>
      </c>
      <c r="N8" s="10" t="s">
        <v>17</v>
      </c>
      <c r="O8" s="22" t="s">
        <v>36</v>
      </c>
      <c r="P8" s="23" t="s">
        <v>37</v>
      </c>
    </row>
    <row r="9" spans="1:16" ht="37.5" customHeight="1" x14ac:dyDescent="0.2">
      <c r="A9" s="20">
        <v>1500</v>
      </c>
      <c r="B9" s="21" t="s">
        <v>34</v>
      </c>
      <c r="C9" s="7">
        <v>530</v>
      </c>
      <c r="D9" s="6" t="str">
        <f>IF(C9&lt;=0,"",VLOOKUP(C9,[1]FF!A:D,2,0))</f>
        <v>PARTICIPACIONES Ramo 28</v>
      </c>
      <c r="E9" s="7" t="s">
        <v>41</v>
      </c>
      <c r="F9" s="7" t="s">
        <v>15</v>
      </c>
      <c r="G9" s="7">
        <v>211001</v>
      </c>
      <c r="H9" s="9" t="str">
        <f>IF(G9&lt;=0,"",VLOOKUP(G9,[1]COG!A:H,2,0))</f>
        <v>Material de oficina</v>
      </c>
      <c r="I9" s="10">
        <v>3000</v>
      </c>
      <c r="J9" s="10">
        <v>3200</v>
      </c>
      <c r="K9" s="10">
        <v>5000</v>
      </c>
      <c r="L9" s="10">
        <v>5000</v>
      </c>
      <c r="M9" s="11">
        <f>SUM(Tabla13[[#This Row],[TRIMESTRE  I]:[TRIMESTRE IV]])</f>
        <v>16200</v>
      </c>
      <c r="N9" s="10" t="s">
        <v>17</v>
      </c>
      <c r="O9" s="22" t="s">
        <v>36</v>
      </c>
      <c r="P9" s="23" t="s">
        <v>37</v>
      </c>
    </row>
    <row r="10" spans="1:16" ht="45" x14ac:dyDescent="0.2">
      <c r="A10" s="20">
        <v>1500</v>
      </c>
      <c r="B10" s="21" t="s">
        <v>34</v>
      </c>
      <c r="C10" s="7">
        <v>530</v>
      </c>
      <c r="D10" s="6" t="str">
        <f>IF(C10&lt;=0,"",VLOOKUP(C10,[1]FF!A:D,2,0))</f>
        <v>PARTICIPACIONES Ramo 28</v>
      </c>
      <c r="E10" s="7" t="s">
        <v>42</v>
      </c>
      <c r="F10" s="7" t="s">
        <v>15</v>
      </c>
      <c r="G10" s="7">
        <v>211001</v>
      </c>
      <c r="H10" s="9" t="str">
        <f>IF(G10&lt;=0,"",VLOOKUP(G10,[1]COG!A:H,2,0))</f>
        <v>Material de oficina</v>
      </c>
      <c r="I10" s="10">
        <v>3000</v>
      </c>
      <c r="J10" s="10">
        <v>3800</v>
      </c>
      <c r="K10" s="10">
        <v>6000</v>
      </c>
      <c r="L10" s="10">
        <v>7000</v>
      </c>
      <c r="M10" s="11">
        <f>SUM(Tabla13[[#This Row],[TRIMESTRE  I]:[TRIMESTRE IV]])</f>
        <v>19800</v>
      </c>
      <c r="N10" s="10" t="s">
        <v>17</v>
      </c>
      <c r="O10" s="22" t="s">
        <v>36</v>
      </c>
      <c r="P10" s="23" t="s">
        <v>37</v>
      </c>
    </row>
    <row r="11" spans="1:16" ht="37.5" customHeight="1" x14ac:dyDescent="0.2">
      <c r="A11" s="20">
        <v>1500</v>
      </c>
      <c r="B11" s="21" t="s">
        <v>34</v>
      </c>
      <c r="C11" s="7">
        <v>530</v>
      </c>
      <c r="D11" s="6" t="str">
        <f>IF(C11&lt;=0,"",VLOOKUP(C11,[1]FF!A:D,2,0))</f>
        <v>PARTICIPACIONES Ramo 28</v>
      </c>
      <c r="E11" s="7" t="s">
        <v>43</v>
      </c>
      <c r="F11" s="7" t="s">
        <v>15</v>
      </c>
      <c r="G11" s="7">
        <v>211001</v>
      </c>
      <c r="H11" s="9" t="str">
        <f>IF(G11&lt;=0,"",VLOOKUP(G11,[1]COG!A:H,2,0))</f>
        <v>Material de oficina</v>
      </c>
      <c r="I11" s="10">
        <v>4000</v>
      </c>
      <c r="J11" s="10">
        <v>4000</v>
      </c>
      <c r="K11" s="10">
        <v>7000</v>
      </c>
      <c r="L11" s="10">
        <v>7000</v>
      </c>
      <c r="M11" s="11">
        <f>SUM(Tabla13[[#This Row],[TRIMESTRE  I]:[TRIMESTRE IV]])</f>
        <v>22000</v>
      </c>
      <c r="N11" s="10" t="s">
        <v>17</v>
      </c>
      <c r="O11" s="22" t="s">
        <v>36</v>
      </c>
      <c r="P11" s="23" t="s">
        <v>37</v>
      </c>
    </row>
    <row r="12" spans="1:16" ht="37.5" customHeight="1" x14ac:dyDescent="0.2">
      <c r="A12" s="20">
        <v>1500</v>
      </c>
      <c r="B12" s="21" t="s">
        <v>34</v>
      </c>
      <c r="C12" s="7">
        <v>530</v>
      </c>
      <c r="D12" s="6" t="str">
        <f>IF(C12&lt;=0,"",VLOOKUP(C12,[1]FF!A:D,2,0))</f>
        <v>PARTICIPACIONES Ramo 28</v>
      </c>
      <c r="E12" s="7" t="s">
        <v>35</v>
      </c>
      <c r="F12" s="7" t="s">
        <v>15</v>
      </c>
      <c r="G12" s="7">
        <v>212001</v>
      </c>
      <c r="H12" s="9" t="str">
        <f>IF(G12&lt;=0,"",VLOOKUP(G12,[1]COG!A:H,2,0))</f>
        <v>Material y útiles de impresión</v>
      </c>
      <c r="I12" s="10">
        <v>0</v>
      </c>
      <c r="J12" s="10">
        <v>1400</v>
      </c>
      <c r="K12" s="10">
        <v>500</v>
      </c>
      <c r="L12" s="10">
        <v>1181</v>
      </c>
      <c r="M12" s="11">
        <f>SUM(Tabla13[[#This Row],[TRIMESTRE  I]:[TRIMESTRE IV]])</f>
        <v>3081</v>
      </c>
      <c r="N12" s="10" t="s">
        <v>17</v>
      </c>
      <c r="O12" s="22" t="s">
        <v>36</v>
      </c>
      <c r="P12" s="23" t="s">
        <v>37</v>
      </c>
    </row>
    <row r="13" spans="1:16" ht="37.5" customHeight="1" x14ac:dyDescent="0.2">
      <c r="A13" s="20">
        <v>1500</v>
      </c>
      <c r="B13" s="21" t="s">
        <v>34</v>
      </c>
      <c r="C13" s="7">
        <v>530</v>
      </c>
      <c r="D13" s="6" t="str">
        <f>IF(C13&lt;=0,"",VLOOKUP(C13,[1]FF!A:D,2,0))</f>
        <v>PARTICIPACIONES Ramo 28</v>
      </c>
      <c r="E13" s="7" t="s">
        <v>38</v>
      </c>
      <c r="F13" s="7" t="s">
        <v>15</v>
      </c>
      <c r="G13" s="7">
        <v>212001</v>
      </c>
      <c r="H13" s="9" t="str">
        <f>IF(G13&lt;=0,"",VLOOKUP(G13,[1]COG!A:H,2,0))</f>
        <v>Material y útiles de impresión</v>
      </c>
      <c r="I13" s="10">
        <v>1000</v>
      </c>
      <c r="J13" s="10">
        <v>1000</v>
      </c>
      <c r="K13" s="10">
        <v>3500</v>
      </c>
      <c r="L13" s="10">
        <v>0</v>
      </c>
      <c r="M13" s="11">
        <f>SUM(Tabla13[[#This Row],[TRIMESTRE  I]:[TRIMESTRE IV]])</f>
        <v>5500</v>
      </c>
      <c r="N13" s="10" t="s">
        <v>17</v>
      </c>
      <c r="O13" s="22" t="s">
        <v>36</v>
      </c>
      <c r="P13" s="23" t="s">
        <v>37</v>
      </c>
    </row>
    <row r="14" spans="1:16" ht="37.5" customHeight="1" x14ac:dyDescent="0.2">
      <c r="A14" s="20">
        <v>1500</v>
      </c>
      <c r="B14" s="21" t="s">
        <v>34</v>
      </c>
      <c r="C14" s="7">
        <v>530</v>
      </c>
      <c r="D14" s="6" t="str">
        <f>IF(C14&lt;=0,"",VLOOKUP(C14,[1]FF!A:D,2,0))</f>
        <v>PARTICIPACIONES Ramo 28</v>
      </c>
      <c r="E14" s="7" t="s">
        <v>39</v>
      </c>
      <c r="F14" s="7" t="s">
        <v>15</v>
      </c>
      <c r="G14" s="7">
        <v>212001</v>
      </c>
      <c r="H14" s="9" t="str">
        <f>IF(G14&lt;=0,"",VLOOKUP(G14,[1]COG!A:H,2,0))</f>
        <v>Material y útiles de impresión</v>
      </c>
      <c r="I14" s="10">
        <v>500</v>
      </c>
      <c r="J14" s="10">
        <v>3100</v>
      </c>
      <c r="K14" s="10">
        <v>0</v>
      </c>
      <c r="L14" s="10">
        <v>0</v>
      </c>
      <c r="M14" s="11">
        <f>SUM(Tabla13[[#This Row],[TRIMESTRE  I]:[TRIMESTRE IV]])</f>
        <v>3600</v>
      </c>
      <c r="N14" s="10" t="s">
        <v>17</v>
      </c>
      <c r="O14" s="22" t="s">
        <v>36</v>
      </c>
      <c r="P14" s="23" t="s">
        <v>37</v>
      </c>
    </row>
    <row r="15" spans="1:16" ht="37.5" customHeight="1" x14ac:dyDescent="0.2">
      <c r="A15" s="20">
        <v>1500</v>
      </c>
      <c r="B15" s="21" t="s">
        <v>34</v>
      </c>
      <c r="C15" s="7">
        <v>530</v>
      </c>
      <c r="D15" s="6" t="str">
        <f>IF(C15&lt;=0,"",VLOOKUP(C15,[1]FF!A:D,2,0))</f>
        <v>PARTICIPACIONES Ramo 28</v>
      </c>
      <c r="E15" s="7" t="s">
        <v>40</v>
      </c>
      <c r="F15" s="7" t="s">
        <v>15</v>
      </c>
      <c r="G15" s="7">
        <v>212001</v>
      </c>
      <c r="H15" s="9" t="str">
        <f>IF(G15&lt;=0,"",VLOOKUP(G15,[1]COG!A:H,2,0))</f>
        <v>Material y útiles de impresión</v>
      </c>
      <c r="I15" s="10">
        <v>2000</v>
      </c>
      <c r="J15" s="10">
        <v>2000</v>
      </c>
      <c r="K15" s="10">
        <v>683</v>
      </c>
      <c r="L15" s="10">
        <v>0</v>
      </c>
      <c r="M15" s="11">
        <f>SUM(Tabla13[[#This Row],[TRIMESTRE  I]:[TRIMESTRE IV]])</f>
        <v>4683</v>
      </c>
      <c r="N15" s="10" t="s">
        <v>17</v>
      </c>
      <c r="O15" s="22" t="s">
        <v>36</v>
      </c>
      <c r="P15" s="23" t="s">
        <v>37</v>
      </c>
    </row>
    <row r="16" spans="1:16" ht="37.5" customHeight="1" x14ac:dyDescent="0.2">
      <c r="A16" s="20">
        <v>1500</v>
      </c>
      <c r="B16" s="21" t="s">
        <v>34</v>
      </c>
      <c r="C16" s="7">
        <v>530</v>
      </c>
      <c r="D16" s="6" t="str">
        <f>IF(C16&lt;=0,"",VLOOKUP(C16,[1]FF!A:D,2,0))</f>
        <v>PARTICIPACIONES Ramo 28</v>
      </c>
      <c r="E16" s="7" t="s">
        <v>41</v>
      </c>
      <c r="F16" s="7" t="s">
        <v>15</v>
      </c>
      <c r="G16" s="7">
        <v>212001</v>
      </c>
      <c r="H16" s="9" t="str">
        <f>IF(G16&lt;=0,"",VLOOKUP(G16,[1]COG!A:H,2,0))</f>
        <v>Material y útiles de impresión</v>
      </c>
      <c r="I16" s="10">
        <v>1500</v>
      </c>
      <c r="J16" s="10">
        <v>0</v>
      </c>
      <c r="K16" s="10">
        <v>2500</v>
      </c>
      <c r="L16" s="10">
        <v>3000</v>
      </c>
      <c r="M16" s="11">
        <f>SUM(Tabla13[[#This Row],[TRIMESTRE  I]:[TRIMESTRE IV]])</f>
        <v>7000</v>
      </c>
      <c r="N16" s="10" t="s">
        <v>17</v>
      </c>
      <c r="O16" s="22" t="s">
        <v>36</v>
      </c>
      <c r="P16" s="23" t="s">
        <v>37</v>
      </c>
    </row>
    <row r="17" spans="1:16" ht="45" x14ac:dyDescent="0.2">
      <c r="A17" s="20">
        <v>1500</v>
      </c>
      <c r="B17" s="21" t="s">
        <v>34</v>
      </c>
      <c r="C17" s="7">
        <v>530</v>
      </c>
      <c r="D17" s="6" t="str">
        <f>IF(C17&lt;=0,"",VLOOKUP(C17,[1]FF!A:D,2,0))</f>
        <v>PARTICIPACIONES Ramo 28</v>
      </c>
      <c r="E17" s="7" t="s">
        <v>42</v>
      </c>
      <c r="F17" s="7" t="s">
        <v>15</v>
      </c>
      <c r="G17" s="7">
        <v>212001</v>
      </c>
      <c r="H17" s="9" t="str">
        <f>IF(G17&lt;=0,"",VLOOKUP(G17,[1]COG!A:H,2,0))</f>
        <v>Material y útiles de impresión</v>
      </c>
      <c r="I17" s="10">
        <v>0</v>
      </c>
      <c r="J17" s="10">
        <v>1128</v>
      </c>
      <c r="K17" s="10">
        <v>1000</v>
      </c>
      <c r="L17" s="10">
        <v>1319</v>
      </c>
      <c r="M17" s="11">
        <f>SUM(Tabla13[[#This Row],[TRIMESTRE  I]:[TRIMESTRE IV]])</f>
        <v>3447</v>
      </c>
      <c r="N17" s="10" t="s">
        <v>17</v>
      </c>
      <c r="O17" s="22" t="s">
        <v>36</v>
      </c>
      <c r="P17" s="23" t="s">
        <v>37</v>
      </c>
    </row>
    <row r="18" spans="1:16" ht="22.5" x14ac:dyDescent="0.2">
      <c r="A18" s="20">
        <v>1500</v>
      </c>
      <c r="B18" s="21" t="s">
        <v>34</v>
      </c>
      <c r="C18" s="7">
        <v>530</v>
      </c>
      <c r="D18" s="6" t="str">
        <f>IF(C18&lt;=0,"",VLOOKUP(C18,[1]FF!A:D,2,0))</f>
        <v>PARTICIPACIONES Ramo 28</v>
      </c>
      <c r="E18" s="7" t="s">
        <v>43</v>
      </c>
      <c r="F18" s="7" t="s">
        <v>15</v>
      </c>
      <c r="G18" s="7">
        <v>212001</v>
      </c>
      <c r="H18" s="9" t="str">
        <f>IF(G18&lt;=0,"",VLOOKUP(G18,[1]COG!A:H,2,0))</f>
        <v>Material y útiles de impresión</v>
      </c>
      <c r="I18" s="10">
        <v>100</v>
      </c>
      <c r="J18" s="10">
        <v>0</v>
      </c>
      <c r="K18" s="10">
        <v>0</v>
      </c>
      <c r="L18" s="10">
        <v>0</v>
      </c>
      <c r="M18" s="11">
        <f>SUM(Tabla13[[#This Row],[TRIMESTRE  I]:[TRIMESTRE IV]])</f>
        <v>100</v>
      </c>
      <c r="N18" s="10" t="s">
        <v>17</v>
      </c>
      <c r="O18" s="22" t="s">
        <v>36</v>
      </c>
      <c r="P18" s="23" t="s">
        <v>37</v>
      </c>
    </row>
    <row r="19" spans="1:16" ht="27" x14ac:dyDescent="0.2">
      <c r="A19" s="20">
        <v>1500</v>
      </c>
      <c r="B19" s="21" t="s">
        <v>34</v>
      </c>
      <c r="C19" s="7">
        <v>530</v>
      </c>
      <c r="D19" s="6" t="str">
        <f>IF(C19&lt;=0,"",VLOOKUP(C19,[1]FF!A:D,2,0))</f>
        <v>PARTICIPACIONES Ramo 28</v>
      </c>
      <c r="E19" s="7" t="s">
        <v>35</v>
      </c>
      <c r="F19" s="7" t="s">
        <v>15</v>
      </c>
      <c r="G19" s="7">
        <v>214001</v>
      </c>
      <c r="H19" s="9" t="str">
        <f>IF(G19&lt;=0,"",VLOOKUP(G19,[1]COG!A:H,2,0))</f>
        <v>Materiales, útiles y equipos menores de tecnologías de la información y comunicaciones</v>
      </c>
      <c r="I19" s="10">
        <v>901</v>
      </c>
      <c r="J19" s="10">
        <v>3400</v>
      </c>
      <c r="K19" s="10">
        <v>3800</v>
      </c>
      <c r="L19" s="10">
        <v>3160</v>
      </c>
      <c r="M19" s="11">
        <f>SUM(Tabla13[[#This Row],[TRIMESTRE  I]:[TRIMESTRE IV]])</f>
        <v>11261</v>
      </c>
      <c r="N19" s="10" t="s">
        <v>19</v>
      </c>
      <c r="O19" s="22" t="s">
        <v>36</v>
      </c>
      <c r="P19" s="23" t="s">
        <v>44</v>
      </c>
    </row>
    <row r="20" spans="1:16" ht="27" x14ac:dyDescent="0.2">
      <c r="A20" s="20">
        <v>1500</v>
      </c>
      <c r="B20" s="21" t="s">
        <v>34</v>
      </c>
      <c r="C20" s="7">
        <v>530</v>
      </c>
      <c r="D20" s="6" t="str">
        <f>IF(C20&lt;=0,"",VLOOKUP(C20,[1]FF!A:D,2,0))</f>
        <v>PARTICIPACIONES Ramo 28</v>
      </c>
      <c r="E20" s="7" t="s">
        <v>38</v>
      </c>
      <c r="F20" s="7" t="s">
        <v>15</v>
      </c>
      <c r="G20" s="7">
        <v>214001</v>
      </c>
      <c r="H20" s="9" t="str">
        <f>IF(G20&lt;=0,"",VLOOKUP(G20,[1]COG!A:H,2,0))</f>
        <v>Materiales, útiles y equipos menores de tecnologías de la información y comunicaciones</v>
      </c>
      <c r="I20" s="10">
        <v>4140</v>
      </c>
      <c r="J20" s="10">
        <v>5775</v>
      </c>
      <c r="K20" s="10">
        <v>1850</v>
      </c>
      <c r="L20" s="10">
        <v>1275</v>
      </c>
      <c r="M20" s="11">
        <f>SUM(Tabla13[[#This Row],[TRIMESTRE  I]:[TRIMESTRE IV]])</f>
        <v>13040</v>
      </c>
      <c r="N20" s="10" t="s">
        <v>19</v>
      </c>
      <c r="O20" s="22" t="s">
        <v>36</v>
      </c>
      <c r="P20" s="23" t="s">
        <v>44</v>
      </c>
    </row>
    <row r="21" spans="1:16" ht="27" x14ac:dyDescent="0.2">
      <c r="A21" s="20">
        <v>1500</v>
      </c>
      <c r="B21" s="21" t="s">
        <v>34</v>
      </c>
      <c r="C21" s="7">
        <v>530</v>
      </c>
      <c r="D21" s="6" t="str">
        <f>IF(C21&lt;=0,"",VLOOKUP(C21,[1]FF!A:D,2,0))</f>
        <v>PARTICIPACIONES Ramo 28</v>
      </c>
      <c r="E21" s="7" t="s">
        <v>39</v>
      </c>
      <c r="F21" s="7" t="s">
        <v>15</v>
      </c>
      <c r="G21" s="7">
        <v>214001</v>
      </c>
      <c r="H21" s="9" t="str">
        <f>IF(G21&lt;=0,"",VLOOKUP(G21,[1]COG!A:H,2,0))</f>
        <v>Materiales, útiles y equipos menores de tecnologías de la información y comunicaciones</v>
      </c>
      <c r="I21" s="10">
        <v>1700</v>
      </c>
      <c r="J21" s="10">
        <v>1235</v>
      </c>
      <c r="K21" s="10">
        <v>1275</v>
      </c>
      <c r="L21" s="10">
        <v>0</v>
      </c>
      <c r="M21" s="11">
        <f>SUM(Tabla13[[#This Row],[TRIMESTRE  I]:[TRIMESTRE IV]])</f>
        <v>4210</v>
      </c>
      <c r="N21" s="10" t="s">
        <v>19</v>
      </c>
      <c r="O21" s="22" t="s">
        <v>36</v>
      </c>
      <c r="P21" s="23" t="s">
        <v>44</v>
      </c>
    </row>
    <row r="22" spans="1:16" ht="33.75" x14ac:dyDescent="0.2">
      <c r="A22" s="20">
        <v>1500</v>
      </c>
      <c r="B22" s="21" t="s">
        <v>34</v>
      </c>
      <c r="C22" s="7">
        <v>530</v>
      </c>
      <c r="D22" s="6" t="str">
        <f>IF(C22&lt;=0,"",VLOOKUP(C22,[1]FF!A:D,2,0))</f>
        <v>PARTICIPACIONES Ramo 28</v>
      </c>
      <c r="E22" s="7" t="s">
        <v>40</v>
      </c>
      <c r="F22" s="7" t="s">
        <v>15</v>
      </c>
      <c r="G22" s="7">
        <v>214001</v>
      </c>
      <c r="H22" s="9" t="str">
        <f>IF(G22&lt;=0,"",VLOOKUP(G22,[1]COG!A:H,2,0))</f>
        <v>Materiales, útiles y equipos menores de tecnologías de la información y comunicaciones</v>
      </c>
      <c r="I22" s="10">
        <v>1400</v>
      </c>
      <c r="J22" s="10">
        <v>550</v>
      </c>
      <c r="K22" s="10">
        <v>0</v>
      </c>
      <c r="L22" s="10">
        <v>0</v>
      </c>
      <c r="M22" s="11">
        <f>SUM(Tabla13[[#This Row],[TRIMESTRE  I]:[TRIMESTRE IV]])</f>
        <v>1950</v>
      </c>
      <c r="N22" s="10" t="s">
        <v>19</v>
      </c>
      <c r="O22" s="22" t="s">
        <v>36</v>
      </c>
      <c r="P22" s="23" t="s">
        <v>44</v>
      </c>
    </row>
    <row r="23" spans="1:16" ht="27" x14ac:dyDescent="0.2">
      <c r="A23" s="20">
        <v>1500</v>
      </c>
      <c r="B23" s="21" t="s">
        <v>34</v>
      </c>
      <c r="C23" s="7">
        <v>530</v>
      </c>
      <c r="D23" s="6" t="str">
        <f>IF(C23&lt;=0,"",VLOOKUP(C23,[1]FF!A:D,2,0))</f>
        <v>PARTICIPACIONES Ramo 28</v>
      </c>
      <c r="E23" s="7" t="s">
        <v>41</v>
      </c>
      <c r="F23" s="7" t="s">
        <v>15</v>
      </c>
      <c r="G23" s="7">
        <v>214001</v>
      </c>
      <c r="H23" s="9" t="str">
        <f>IF(G23&lt;=0,"",VLOOKUP(G23,[1]COG!A:H,2,0))</f>
        <v>Materiales, útiles y equipos menores de tecnologías de la información y comunicaciones</v>
      </c>
      <c r="I23" s="10">
        <v>3175</v>
      </c>
      <c r="J23" s="10">
        <v>3400</v>
      </c>
      <c r="K23" s="10">
        <v>8825</v>
      </c>
      <c r="L23" s="10">
        <v>2100</v>
      </c>
      <c r="M23" s="11">
        <f>SUM(Tabla13[[#This Row],[TRIMESTRE  I]:[TRIMESTRE IV]])</f>
        <v>17500</v>
      </c>
      <c r="N23" s="10" t="s">
        <v>19</v>
      </c>
      <c r="O23" s="22" t="s">
        <v>36</v>
      </c>
      <c r="P23" s="23" t="s">
        <v>44</v>
      </c>
    </row>
    <row r="24" spans="1:16" ht="45" x14ac:dyDescent="0.2">
      <c r="A24" s="20">
        <v>1500</v>
      </c>
      <c r="B24" s="21" t="s">
        <v>34</v>
      </c>
      <c r="C24" s="7">
        <v>530</v>
      </c>
      <c r="D24" s="6" t="str">
        <f>IF(C24&lt;=0,"",VLOOKUP(C24,[1]FF!A:D,2,0))</f>
        <v>PARTICIPACIONES Ramo 28</v>
      </c>
      <c r="E24" s="7" t="s">
        <v>42</v>
      </c>
      <c r="F24" s="7" t="s">
        <v>15</v>
      </c>
      <c r="G24" s="7">
        <v>214001</v>
      </c>
      <c r="H24" s="9" t="str">
        <f>IF(G24&lt;=0,"",VLOOKUP(G24,[1]COG!A:H,2,0))</f>
        <v>Materiales, útiles y equipos menores de tecnologías de la información y comunicaciones</v>
      </c>
      <c r="I24" s="10">
        <v>2949</v>
      </c>
      <c r="J24" s="10">
        <v>3369</v>
      </c>
      <c r="K24" s="10">
        <v>5898</v>
      </c>
      <c r="L24" s="10">
        <v>701</v>
      </c>
      <c r="M24" s="11">
        <f>SUM(Tabla13[[#This Row],[TRIMESTRE  I]:[TRIMESTRE IV]])</f>
        <v>12917</v>
      </c>
      <c r="N24" s="10" t="s">
        <v>19</v>
      </c>
      <c r="O24" s="22" t="s">
        <v>36</v>
      </c>
      <c r="P24" s="23" t="s">
        <v>44</v>
      </c>
    </row>
    <row r="25" spans="1:16" ht="27" x14ac:dyDescent="0.2">
      <c r="A25" s="20">
        <v>1500</v>
      </c>
      <c r="B25" s="21" t="s">
        <v>34</v>
      </c>
      <c r="C25" s="7">
        <v>530</v>
      </c>
      <c r="D25" s="6" t="str">
        <f>IF(C25&lt;=0,"",VLOOKUP(C25,[1]FF!A:D,2,0))</f>
        <v>PARTICIPACIONES Ramo 28</v>
      </c>
      <c r="E25" s="7" t="s">
        <v>43</v>
      </c>
      <c r="F25" s="7" t="s">
        <v>15</v>
      </c>
      <c r="G25" s="7">
        <v>214001</v>
      </c>
      <c r="H25" s="9" t="str">
        <f>IF(G25&lt;=0,"",VLOOKUP(G25,[1]COG!A:H,2,0))</f>
        <v>Materiales, útiles y equipos menores de tecnologías de la información y comunicaciones</v>
      </c>
      <c r="I25" s="10">
        <v>2000</v>
      </c>
      <c r="J25" s="10">
        <v>0</v>
      </c>
      <c r="K25" s="10">
        <v>0</v>
      </c>
      <c r="L25" s="10">
        <v>0</v>
      </c>
      <c r="M25" s="11">
        <f>SUM(Tabla13[[#This Row],[TRIMESTRE  I]:[TRIMESTRE IV]])</f>
        <v>2000</v>
      </c>
      <c r="N25" s="10" t="s">
        <v>19</v>
      </c>
      <c r="O25" s="22" t="s">
        <v>36</v>
      </c>
      <c r="P25" s="23" t="s">
        <v>44</v>
      </c>
    </row>
    <row r="26" spans="1:16" ht="22.5" x14ac:dyDescent="0.2">
      <c r="A26" s="20">
        <v>1500</v>
      </c>
      <c r="B26" s="21" t="s">
        <v>34</v>
      </c>
      <c r="C26" s="7">
        <v>530</v>
      </c>
      <c r="D26" s="6" t="str">
        <f>IF(C26&lt;=0,"",VLOOKUP(C26,[1]FF!A:D,2,0))</f>
        <v>PARTICIPACIONES Ramo 28</v>
      </c>
      <c r="E26" s="7" t="s">
        <v>35</v>
      </c>
      <c r="F26" s="7" t="s">
        <v>15</v>
      </c>
      <c r="G26" s="7">
        <v>215001</v>
      </c>
      <c r="H26" s="9" t="str">
        <f>IF(G26&lt;=0,"",VLOOKUP(G26,[1]COG!A:H,2,0))</f>
        <v>Material didáctico</v>
      </c>
      <c r="I26" s="10">
        <v>60901</v>
      </c>
      <c r="J26" s="10">
        <v>401</v>
      </c>
      <c r="K26" s="10">
        <v>803</v>
      </c>
      <c r="L26" s="10">
        <v>901</v>
      </c>
      <c r="M26" s="11">
        <f>SUM(Tabla13[[#This Row],[TRIMESTRE  I]:[TRIMESTRE IV]])</f>
        <v>63006</v>
      </c>
      <c r="N26" s="10" t="s">
        <v>19</v>
      </c>
      <c r="O26" s="22" t="s">
        <v>36</v>
      </c>
      <c r="P26" s="23" t="s">
        <v>44</v>
      </c>
    </row>
    <row r="27" spans="1:16" ht="22.5" x14ac:dyDescent="0.2">
      <c r="A27" s="20">
        <v>1500</v>
      </c>
      <c r="B27" s="21" t="s">
        <v>34</v>
      </c>
      <c r="C27" s="7">
        <v>530</v>
      </c>
      <c r="D27" s="6" t="str">
        <f>IF(C27&lt;=0,"",VLOOKUP(C27,[1]FF!A:D,2,0))</f>
        <v>PARTICIPACIONES Ramo 28</v>
      </c>
      <c r="E27" s="7" t="s">
        <v>38</v>
      </c>
      <c r="F27" s="7" t="s">
        <v>15</v>
      </c>
      <c r="G27" s="7">
        <v>215001</v>
      </c>
      <c r="H27" s="9" t="str">
        <f>IF(G27&lt;=0,"",VLOOKUP(G27,[1]COG!A:H,2,0))</f>
        <v>Material didáctico</v>
      </c>
      <c r="I27" s="10">
        <v>340</v>
      </c>
      <c r="J27" s="10">
        <v>500</v>
      </c>
      <c r="K27" s="10">
        <v>420</v>
      </c>
      <c r="L27" s="10">
        <v>340</v>
      </c>
      <c r="M27" s="11">
        <f>SUM(Tabla13[[#This Row],[TRIMESTRE  I]:[TRIMESTRE IV]])</f>
        <v>1600</v>
      </c>
      <c r="N27" s="10" t="s">
        <v>19</v>
      </c>
      <c r="O27" s="22" t="s">
        <v>36</v>
      </c>
      <c r="P27" s="23" t="s">
        <v>44</v>
      </c>
    </row>
    <row r="28" spans="1:16" ht="45" x14ac:dyDescent="0.2">
      <c r="A28" s="20">
        <v>1500</v>
      </c>
      <c r="B28" s="21" t="s">
        <v>34</v>
      </c>
      <c r="C28" s="7">
        <v>530</v>
      </c>
      <c r="D28" s="6" t="str">
        <f>IF(C28&lt;=0,"",VLOOKUP(C28,[1]FF!A:D,2,0))</f>
        <v>PARTICIPACIONES Ramo 28</v>
      </c>
      <c r="E28" s="7" t="s">
        <v>42</v>
      </c>
      <c r="F28" s="7" t="s">
        <v>15</v>
      </c>
      <c r="G28" s="7">
        <v>215001</v>
      </c>
      <c r="H28" s="9" t="str">
        <f>IF(G28&lt;=0,"",VLOOKUP(G28,[1]COG!A:H,2,0))</f>
        <v>Material didáctico</v>
      </c>
      <c r="I28" s="10">
        <v>898</v>
      </c>
      <c r="J28" s="10">
        <v>448</v>
      </c>
      <c r="K28" s="10">
        <v>973</v>
      </c>
      <c r="L28" s="10">
        <v>1347</v>
      </c>
      <c r="M28" s="11">
        <f>SUM(Tabla13[[#This Row],[TRIMESTRE  I]:[TRIMESTRE IV]])</f>
        <v>3666</v>
      </c>
      <c r="N28" s="10" t="s">
        <v>19</v>
      </c>
      <c r="O28" s="22" t="s">
        <v>36</v>
      </c>
      <c r="P28" s="23" t="s">
        <v>44</v>
      </c>
    </row>
    <row r="29" spans="1:16" ht="22.5" x14ac:dyDescent="0.2">
      <c r="A29" s="20">
        <v>1500</v>
      </c>
      <c r="B29" s="21" t="s">
        <v>34</v>
      </c>
      <c r="C29" s="7">
        <v>530</v>
      </c>
      <c r="D29" s="24" t="str">
        <f>IF(C29&lt;=0,"",VLOOKUP(C29,[1]FF!A:D,2,0))</f>
        <v>PARTICIPACIONES Ramo 28</v>
      </c>
      <c r="E29" s="7" t="s">
        <v>41</v>
      </c>
      <c r="F29" s="7" t="s">
        <v>15</v>
      </c>
      <c r="G29" s="7">
        <v>215003</v>
      </c>
      <c r="H29" s="25" t="str">
        <f>IF(G29&lt;=0,"",VLOOKUP(G29,[1]COG!A:H,2,0))</f>
        <v>Material impreso e información digital</v>
      </c>
      <c r="I29" s="26">
        <v>0</v>
      </c>
      <c r="J29" s="26">
        <v>500</v>
      </c>
      <c r="K29" s="26">
        <v>6425</v>
      </c>
      <c r="L29" s="26">
        <v>0</v>
      </c>
      <c r="M29" s="11">
        <f>SUM(Tabla13[[#This Row],[TRIMESTRE  I]:[TRIMESTRE IV]])</f>
        <v>6925</v>
      </c>
      <c r="N29" s="10" t="s">
        <v>19</v>
      </c>
      <c r="O29" s="22" t="s">
        <v>36</v>
      </c>
      <c r="P29" s="23" t="s">
        <v>44</v>
      </c>
    </row>
    <row r="30" spans="1:16" ht="24.75" customHeight="1" x14ac:dyDescent="0.2">
      <c r="A30" s="20">
        <v>1500</v>
      </c>
      <c r="B30" s="21" t="s">
        <v>34</v>
      </c>
      <c r="C30" s="7">
        <v>530</v>
      </c>
      <c r="D30" s="6" t="str">
        <f>IF(C30&lt;=0,"",VLOOKUP(C30,[1]FF!A:D,2,0))</f>
        <v>PARTICIPACIONES Ramo 28</v>
      </c>
      <c r="E30" s="7" t="s">
        <v>35</v>
      </c>
      <c r="F30" s="7" t="s">
        <v>15</v>
      </c>
      <c r="G30" s="7">
        <v>216001</v>
      </c>
      <c r="H30" s="9" t="str">
        <f>IF(G30&lt;=0,"",VLOOKUP(G30,[1]COG!A:H,2,0))</f>
        <v>Material de limpieza</v>
      </c>
      <c r="I30" s="10">
        <v>2400</v>
      </c>
      <c r="J30" s="10">
        <v>4100</v>
      </c>
      <c r="K30" s="10">
        <v>7400</v>
      </c>
      <c r="L30" s="10">
        <v>5500</v>
      </c>
      <c r="M30" s="11">
        <f>SUM(Tabla13[[#This Row],[TRIMESTRE  I]:[TRIMESTRE IV]])</f>
        <v>19400</v>
      </c>
      <c r="N30" s="10" t="s">
        <v>17</v>
      </c>
      <c r="O30" s="22" t="s">
        <v>36</v>
      </c>
      <c r="P30" s="23" t="s">
        <v>37</v>
      </c>
    </row>
    <row r="31" spans="1:16" ht="24.75" customHeight="1" x14ac:dyDescent="0.2">
      <c r="A31" s="20">
        <v>1500</v>
      </c>
      <c r="B31" s="21" t="s">
        <v>34</v>
      </c>
      <c r="C31" s="7">
        <v>530</v>
      </c>
      <c r="D31" s="6" t="str">
        <f>IF(C31&lt;=0,"",VLOOKUP(C31,[1]FF!A:D,2,0))</f>
        <v>PARTICIPACIONES Ramo 28</v>
      </c>
      <c r="E31" s="7" t="s">
        <v>38</v>
      </c>
      <c r="F31" s="7" t="s">
        <v>15</v>
      </c>
      <c r="G31" s="7">
        <v>216001</v>
      </c>
      <c r="H31" s="9" t="str">
        <f>IF(G31&lt;=0,"",VLOOKUP(G31,[1]COG!A:H,2,0))</f>
        <v>Material de limpieza</v>
      </c>
      <c r="I31" s="10">
        <v>2600</v>
      </c>
      <c r="J31" s="10">
        <v>3400</v>
      </c>
      <c r="K31" s="10">
        <v>5600</v>
      </c>
      <c r="L31" s="10">
        <v>5000</v>
      </c>
      <c r="M31" s="11">
        <f>SUM(Tabla13[[#This Row],[TRIMESTRE  I]:[TRIMESTRE IV]])</f>
        <v>16600</v>
      </c>
      <c r="N31" s="10" t="s">
        <v>17</v>
      </c>
      <c r="O31" s="22" t="s">
        <v>36</v>
      </c>
      <c r="P31" s="23" t="s">
        <v>37</v>
      </c>
    </row>
    <row r="32" spans="1:16" ht="24.75" customHeight="1" x14ac:dyDescent="0.2">
      <c r="A32" s="20">
        <v>1500</v>
      </c>
      <c r="B32" s="21" t="s">
        <v>34</v>
      </c>
      <c r="C32" s="7">
        <v>530</v>
      </c>
      <c r="D32" s="6" t="str">
        <f>IF(C32&lt;=0,"",VLOOKUP(C32,[1]FF!A:D,2,0))</f>
        <v>PARTICIPACIONES Ramo 28</v>
      </c>
      <c r="E32" s="7" t="s">
        <v>39</v>
      </c>
      <c r="F32" s="7" t="s">
        <v>15</v>
      </c>
      <c r="G32" s="7">
        <v>216001</v>
      </c>
      <c r="H32" s="9" t="str">
        <f>IF(G32&lt;=0,"",VLOOKUP(G32,[1]COG!A:H,2,0))</f>
        <v>Material de limpieza</v>
      </c>
      <c r="I32" s="10">
        <v>2400</v>
      </c>
      <c r="J32" s="10">
        <v>3100</v>
      </c>
      <c r="K32" s="10">
        <v>5400</v>
      </c>
      <c r="L32" s="10">
        <v>4500</v>
      </c>
      <c r="M32" s="11">
        <f>SUM(Tabla13[[#This Row],[TRIMESTRE  I]:[TRIMESTRE IV]])</f>
        <v>15400</v>
      </c>
      <c r="N32" s="10" t="s">
        <v>17</v>
      </c>
      <c r="O32" s="22" t="s">
        <v>36</v>
      </c>
      <c r="P32" s="23" t="s">
        <v>37</v>
      </c>
    </row>
    <row r="33" spans="1:16" ht="33.75" x14ac:dyDescent="0.2">
      <c r="A33" s="20">
        <v>1500</v>
      </c>
      <c r="B33" s="21" t="s">
        <v>34</v>
      </c>
      <c r="C33" s="7">
        <v>530</v>
      </c>
      <c r="D33" s="6" t="str">
        <f>IF(C33&lt;=0,"",VLOOKUP(C33,[1]FF!A:D,2,0))</f>
        <v>PARTICIPACIONES Ramo 28</v>
      </c>
      <c r="E33" s="7" t="s">
        <v>40</v>
      </c>
      <c r="F33" s="7" t="s">
        <v>15</v>
      </c>
      <c r="G33" s="7">
        <v>216001</v>
      </c>
      <c r="H33" s="9" t="str">
        <f>IF(G33&lt;=0,"",VLOOKUP(G33,[1]COG!A:H,2,0))</f>
        <v>Material de limpieza</v>
      </c>
      <c r="I33" s="10">
        <v>2400</v>
      </c>
      <c r="J33" s="10">
        <v>3100</v>
      </c>
      <c r="K33" s="10">
        <v>9400</v>
      </c>
      <c r="L33" s="10">
        <v>4500</v>
      </c>
      <c r="M33" s="11">
        <f>SUM(Tabla13[[#This Row],[TRIMESTRE  I]:[TRIMESTRE IV]])</f>
        <v>19400</v>
      </c>
      <c r="N33" s="10" t="s">
        <v>17</v>
      </c>
      <c r="O33" s="22" t="s">
        <v>36</v>
      </c>
      <c r="P33" s="23" t="s">
        <v>37</v>
      </c>
    </row>
    <row r="34" spans="1:16" ht="24.75" customHeight="1" x14ac:dyDescent="0.2">
      <c r="A34" s="20">
        <v>1500</v>
      </c>
      <c r="B34" s="21" t="s">
        <v>34</v>
      </c>
      <c r="C34" s="7">
        <v>530</v>
      </c>
      <c r="D34" s="6" t="str">
        <f>IF(C34&lt;=0,"",VLOOKUP(C34,[1]FF!A:D,2,0))</f>
        <v>PARTICIPACIONES Ramo 28</v>
      </c>
      <c r="E34" s="7" t="s">
        <v>41</v>
      </c>
      <c r="F34" s="7" t="s">
        <v>15</v>
      </c>
      <c r="G34" s="7">
        <v>216001</v>
      </c>
      <c r="H34" s="9" t="str">
        <f>IF(G34&lt;=0,"",VLOOKUP(G34,[1]COG!A:H,2,0))</f>
        <v>Material de limpieza</v>
      </c>
      <c r="I34" s="10">
        <v>4400</v>
      </c>
      <c r="J34" s="10">
        <v>3100</v>
      </c>
      <c r="K34" s="10">
        <v>6400</v>
      </c>
      <c r="L34" s="10">
        <v>4500</v>
      </c>
      <c r="M34" s="11">
        <f>SUM(Tabla13[[#This Row],[TRIMESTRE  I]:[TRIMESTRE IV]])</f>
        <v>18400</v>
      </c>
      <c r="N34" s="10" t="s">
        <v>17</v>
      </c>
      <c r="O34" s="22" t="s">
        <v>36</v>
      </c>
      <c r="P34" s="23" t="s">
        <v>37</v>
      </c>
    </row>
    <row r="35" spans="1:16" ht="45" x14ac:dyDescent="0.2">
      <c r="A35" s="20">
        <v>1500</v>
      </c>
      <c r="B35" s="21" t="s">
        <v>34</v>
      </c>
      <c r="C35" s="7">
        <v>530</v>
      </c>
      <c r="D35" s="6" t="str">
        <f>IF(C35&lt;=0,"",VLOOKUP(C35,[1]FF!A:D,2,0))</f>
        <v>PARTICIPACIONES Ramo 28</v>
      </c>
      <c r="E35" s="7" t="s">
        <v>42</v>
      </c>
      <c r="F35" s="7" t="s">
        <v>15</v>
      </c>
      <c r="G35" s="7">
        <v>216001</v>
      </c>
      <c r="H35" s="9" t="str">
        <f>IF(G35&lt;=0,"",VLOOKUP(G35,[1]COG!A:H,2,0))</f>
        <v>Material de limpieza</v>
      </c>
      <c r="I35" s="10">
        <v>4400</v>
      </c>
      <c r="J35" s="10">
        <v>3100</v>
      </c>
      <c r="K35" s="10">
        <v>6400</v>
      </c>
      <c r="L35" s="10">
        <v>4500</v>
      </c>
      <c r="M35" s="11">
        <f>SUM(Tabla13[[#This Row],[TRIMESTRE  I]:[TRIMESTRE IV]])</f>
        <v>18400</v>
      </c>
      <c r="N35" s="10" t="s">
        <v>17</v>
      </c>
      <c r="O35" s="22" t="s">
        <v>36</v>
      </c>
      <c r="P35" s="23" t="s">
        <v>37</v>
      </c>
    </row>
    <row r="36" spans="1:16" ht="22.5" x14ac:dyDescent="0.2">
      <c r="A36" s="20">
        <v>1500</v>
      </c>
      <c r="B36" s="21" t="s">
        <v>34</v>
      </c>
      <c r="C36" s="7">
        <v>530</v>
      </c>
      <c r="D36" s="6" t="str">
        <f>IF(C36&lt;=0,"",VLOOKUP(C36,[1]FF!A:D,2,0))</f>
        <v>PARTICIPACIONES Ramo 28</v>
      </c>
      <c r="E36" s="7" t="s">
        <v>43</v>
      </c>
      <c r="F36" s="7" t="s">
        <v>15</v>
      </c>
      <c r="G36" s="7">
        <v>216001</v>
      </c>
      <c r="H36" s="9" t="str">
        <f>IF(G36&lt;=0,"",VLOOKUP(G36,[1]COG!A:H,2,0))</f>
        <v>Material de limpieza</v>
      </c>
      <c r="I36" s="10">
        <v>3400</v>
      </c>
      <c r="J36" s="10">
        <v>4100</v>
      </c>
      <c r="K36" s="10">
        <v>5400</v>
      </c>
      <c r="L36" s="10">
        <v>4500</v>
      </c>
      <c r="M36" s="11">
        <f>SUM(Tabla13[[#This Row],[TRIMESTRE  I]:[TRIMESTRE IV]])</f>
        <v>17400</v>
      </c>
      <c r="N36" s="10" t="s">
        <v>17</v>
      </c>
      <c r="O36" s="22" t="s">
        <v>36</v>
      </c>
      <c r="P36" s="23" t="s">
        <v>37</v>
      </c>
    </row>
    <row r="37" spans="1:16" ht="22.5" x14ac:dyDescent="0.2">
      <c r="A37" s="20">
        <v>1500</v>
      </c>
      <c r="B37" s="21" t="s">
        <v>34</v>
      </c>
      <c r="C37" s="7">
        <v>530</v>
      </c>
      <c r="D37" s="6" t="str">
        <f>IF(C37&lt;=0,"",VLOOKUP(C37,[1]FF!A:D,2,0))</f>
        <v>PARTICIPACIONES Ramo 28</v>
      </c>
      <c r="E37" s="7" t="s">
        <v>35</v>
      </c>
      <c r="F37" s="7" t="s">
        <v>15</v>
      </c>
      <c r="G37" s="7">
        <v>221001</v>
      </c>
      <c r="H37" s="9" t="str">
        <f>IF(G37&lt;=0,"",VLOOKUP(G37,[1]COG!A:H,2,0))</f>
        <v>Alimentación de personas</v>
      </c>
      <c r="I37" s="10">
        <v>6124</v>
      </c>
      <c r="J37" s="10">
        <v>4444</v>
      </c>
      <c r="K37" s="10">
        <v>7248</v>
      </c>
      <c r="L37" s="10">
        <v>6832</v>
      </c>
      <c r="M37" s="11">
        <f>SUM(Tabla13[[#This Row],[TRIMESTRE  I]:[TRIMESTRE IV]])</f>
        <v>24648</v>
      </c>
      <c r="N37" s="10" t="s">
        <v>19</v>
      </c>
      <c r="O37" s="22" t="s">
        <v>36</v>
      </c>
      <c r="P37" s="23" t="s">
        <v>44</v>
      </c>
    </row>
    <row r="38" spans="1:16" ht="45" x14ac:dyDescent="0.2">
      <c r="A38" s="20">
        <v>1500</v>
      </c>
      <c r="B38" s="21" t="s">
        <v>34</v>
      </c>
      <c r="C38" s="7">
        <v>530</v>
      </c>
      <c r="D38" s="24" t="str">
        <f>IF(C38&lt;=0,"",VLOOKUP(C38,[1]FF!A:D,2,0))</f>
        <v>PARTICIPACIONES Ramo 28</v>
      </c>
      <c r="E38" s="7" t="s">
        <v>42</v>
      </c>
      <c r="F38" s="7" t="s">
        <v>15</v>
      </c>
      <c r="G38" s="7">
        <v>221001</v>
      </c>
      <c r="H38" s="25" t="str">
        <f>IF(G38&lt;=0,"",VLOOKUP(G38,[1]COG!A:H,2,0))</f>
        <v>Alimentación de personas</v>
      </c>
      <c r="I38" s="26">
        <v>2376</v>
      </c>
      <c r="J38" s="26">
        <v>3432</v>
      </c>
      <c r="K38" s="26">
        <v>6128</v>
      </c>
      <c r="L38" s="26">
        <v>4280</v>
      </c>
      <c r="M38" s="27">
        <f>SUM(Tabla13[[#This Row],[TRIMESTRE  I]:[TRIMESTRE IV]])</f>
        <v>16216</v>
      </c>
      <c r="N38" s="10" t="s">
        <v>19</v>
      </c>
      <c r="O38" s="22" t="s">
        <v>36</v>
      </c>
      <c r="P38" s="23" t="s">
        <v>44</v>
      </c>
    </row>
    <row r="39" spans="1:16" ht="22.5" x14ac:dyDescent="0.2">
      <c r="A39" s="20">
        <v>1500</v>
      </c>
      <c r="B39" s="21" t="s">
        <v>34</v>
      </c>
      <c r="C39" s="7">
        <v>530</v>
      </c>
      <c r="D39" s="6" t="str">
        <f>IF(C39&lt;=0,"",VLOOKUP(C39,[1]FF!A:D,2,0))</f>
        <v>PARTICIPACIONES Ramo 28</v>
      </c>
      <c r="E39" s="7" t="s">
        <v>43</v>
      </c>
      <c r="F39" s="7" t="s">
        <v>15</v>
      </c>
      <c r="G39" s="7">
        <v>221001</v>
      </c>
      <c r="H39" s="9" t="str">
        <f>IF(G39&lt;=0,"",VLOOKUP(G39,[1]COG!A:H,2,0))</f>
        <v>Alimentación de personas</v>
      </c>
      <c r="I39" s="10">
        <v>4500</v>
      </c>
      <c r="J39" s="10">
        <v>1000</v>
      </c>
      <c r="K39" s="10">
        <v>0</v>
      </c>
      <c r="L39" s="10">
        <v>3500</v>
      </c>
      <c r="M39" s="11">
        <f>SUM(Tabla13[[#This Row],[TRIMESTRE  I]:[TRIMESTRE IV]])</f>
        <v>9000</v>
      </c>
      <c r="N39" s="10" t="s">
        <v>19</v>
      </c>
      <c r="O39" s="22" t="s">
        <v>36</v>
      </c>
      <c r="P39" s="23" t="s">
        <v>44</v>
      </c>
    </row>
    <row r="40" spans="1:16" ht="22.5" x14ac:dyDescent="0.2">
      <c r="A40" s="20">
        <v>1500</v>
      </c>
      <c r="B40" s="21" t="s">
        <v>34</v>
      </c>
      <c r="C40" s="7">
        <v>530</v>
      </c>
      <c r="D40" s="6" t="str">
        <f>IF(C40&lt;=0,"",VLOOKUP(C40,[1]FF!A:D,2,0))</f>
        <v>PARTICIPACIONES Ramo 28</v>
      </c>
      <c r="E40" s="7" t="s">
        <v>35</v>
      </c>
      <c r="F40" s="7" t="s">
        <v>15</v>
      </c>
      <c r="G40" s="7">
        <v>223001</v>
      </c>
      <c r="H40" s="9" t="str">
        <f>IF(G40&lt;=0,"",VLOOKUP(G40,[1]COG!A:H,2,0))</f>
        <v>Utensilios para el servicio de alimentación</v>
      </c>
      <c r="I40" s="10">
        <v>500</v>
      </c>
      <c r="J40" s="10">
        <v>700</v>
      </c>
      <c r="K40" s="10">
        <v>260</v>
      </c>
      <c r="L40" s="10">
        <v>301</v>
      </c>
      <c r="M40" s="11">
        <f>SUM(Tabla13[[#This Row],[TRIMESTRE  I]:[TRIMESTRE IV]])</f>
        <v>1761</v>
      </c>
      <c r="N40" s="10" t="s">
        <v>19</v>
      </c>
      <c r="O40" s="22" t="s">
        <v>36</v>
      </c>
      <c r="P40" s="23" t="s">
        <v>44</v>
      </c>
    </row>
    <row r="41" spans="1:16" ht="22.5" x14ac:dyDescent="0.2">
      <c r="A41" s="20">
        <v>1500</v>
      </c>
      <c r="B41" s="21" t="s">
        <v>34</v>
      </c>
      <c r="C41" s="7">
        <v>530</v>
      </c>
      <c r="D41" s="6" t="str">
        <f>IF(C41&lt;=0,"",VLOOKUP(C41,[1]FF!A:D,2,0))</f>
        <v>PARTICIPACIONES Ramo 28</v>
      </c>
      <c r="E41" s="7" t="s">
        <v>38</v>
      </c>
      <c r="F41" s="7" t="s">
        <v>15</v>
      </c>
      <c r="G41" s="7">
        <v>223001</v>
      </c>
      <c r="H41" s="9" t="str">
        <f>IF(G41&lt;=0,"",VLOOKUP(G41,[1]COG!A:H,2,0))</f>
        <v>Utensilios para el servicio de alimentación</v>
      </c>
      <c r="I41" s="10">
        <v>6000</v>
      </c>
      <c r="J41" s="10">
        <v>1170</v>
      </c>
      <c r="K41" s="10">
        <v>540</v>
      </c>
      <c r="L41" s="10">
        <v>595</v>
      </c>
      <c r="M41" s="11">
        <f>SUM(Tabla13[[#This Row],[TRIMESTRE  I]:[TRIMESTRE IV]])</f>
        <v>8305</v>
      </c>
      <c r="N41" s="10" t="s">
        <v>19</v>
      </c>
      <c r="O41" s="22" t="s">
        <v>36</v>
      </c>
      <c r="P41" s="23" t="s">
        <v>44</v>
      </c>
    </row>
    <row r="42" spans="1:16" ht="45" x14ac:dyDescent="0.2">
      <c r="A42" s="20">
        <v>1500</v>
      </c>
      <c r="B42" s="21" t="s">
        <v>34</v>
      </c>
      <c r="C42" s="7">
        <v>530</v>
      </c>
      <c r="D42" s="6" t="str">
        <f>IF(C42&lt;=0,"",VLOOKUP(C42,[1]FF!A:D,2,0))</f>
        <v>PARTICIPACIONES Ramo 28</v>
      </c>
      <c r="E42" s="7" t="s">
        <v>42</v>
      </c>
      <c r="F42" s="7" t="s">
        <v>15</v>
      </c>
      <c r="G42" s="7">
        <v>223001</v>
      </c>
      <c r="H42" s="9" t="str">
        <f>IF(G42&lt;=0,"",VLOOKUP(G42,[1]COG!A:H,2,0))</f>
        <v>Utensilios para el servicio de alimentación</v>
      </c>
      <c r="I42" s="10">
        <v>135</v>
      </c>
      <c r="J42" s="10">
        <v>180</v>
      </c>
      <c r="K42" s="10">
        <v>280</v>
      </c>
      <c r="L42" s="10">
        <v>314</v>
      </c>
      <c r="M42" s="11">
        <f>SUM(Tabla13[[#This Row],[TRIMESTRE  I]:[TRIMESTRE IV]])</f>
        <v>909</v>
      </c>
      <c r="N42" s="10" t="s">
        <v>19</v>
      </c>
      <c r="O42" s="22" t="s">
        <v>36</v>
      </c>
      <c r="P42" s="23" t="s">
        <v>44</v>
      </c>
    </row>
    <row r="43" spans="1:16" ht="22.5" x14ac:dyDescent="0.2">
      <c r="A43" s="20">
        <v>1500</v>
      </c>
      <c r="B43" s="21" t="s">
        <v>34</v>
      </c>
      <c r="C43" s="7">
        <v>530</v>
      </c>
      <c r="D43" s="6" t="str">
        <f>IF(C43&lt;=0,"",VLOOKUP(C43,[1]FF!A:D,2,0))</f>
        <v>PARTICIPACIONES Ramo 28</v>
      </c>
      <c r="E43" s="7" t="s">
        <v>35</v>
      </c>
      <c r="F43" s="7" t="s">
        <v>15</v>
      </c>
      <c r="G43" s="7">
        <v>245001</v>
      </c>
      <c r="H43" s="9" t="str">
        <f>IF(G43&lt;=0,"",VLOOKUP(G43,[1]COG!A:H,2,0))</f>
        <v>Vidrio y productos de vidrio</v>
      </c>
      <c r="I43" s="10">
        <v>500</v>
      </c>
      <c r="J43" s="10">
        <v>200</v>
      </c>
      <c r="K43" s="10">
        <v>260</v>
      </c>
      <c r="L43" s="10">
        <v>301</v>
      </c>
      <c r="M43" s="11">
        <f>SUM(Tabla13[[#This Row],[TRIMESTRE  I]:[TRIMESTRE IV]])</f>
        <v>1261</v>
      </c>
      <c r="N43" s="10" t="s">
        <v>19</v>
      </c>
      <c r="O43" s="22" t="s">
        <v>36</v>
      </c>
      <c r="P43" s="23" t="s">
        <v>44</v>
      </c>
    </row>
    <row r="44" spans="1:16" ht="45" x14ac:dyDescent="0.2">
      <c r="A44" s="20">
        <v>1500</v>
      </c>
      <c r="B44" s="21" t="s">
        <v>34</v>
      </c>
      <c r="C44" s="7">
        <v>530</v>
      </c>
      <c r="D44" s="6" t="str">
        <f>IF(C44&lt;=0,"",VLOOKUP(C44,[1]FF!A:D,2,0))</f>
        <v>PARTICIPACIONES Ramo 28</v>
      </c>
      <c r="E44" s="7" t="s">
        <v>42</v>
      </c>
      <c r="F44" s="7" t="s">
        <v>15</v>
      </c>
      <c r="G44" s="7">
        <v>245001</v>
      </c>
      <c r="H44" s="9" t="str">
        <f>IF(G44&lt;=0,"",VLOOKUP(G44,[1]COG!A:H,2,0))</f>
        <v>Vidrio y productos de vidrio</v>
      </c>
      <c r="I44" s="10">
        <v>135</v>
      </c>
      <c r="J44" s="10">
        <v>180</v>
      </c>
      <c r="K44" s="10">
        <v>280</v>
      </c>
      <c r="L44" s="10">
        <v>314</v>
      </c>
      <c r="M44" s="11">
        <f>SUM(Tabla13[[#This Row],[TRIMESTRE  I]:[TRIMESTRE IV]])</f>
        <v>909</v>
      </c>
      <c r="N44" s="10" t="s">
        <v>19</v>
      </c>
      <c r="O44" s="22" t="s">
        <v>36</v>
      </c>
      <c r="P44" s="23" t="s">
        <v>44</v>
      </c>
    </row>
    <row r="45" spans="1:16" ht="22.5" x14ac:dyDescent="0.2">
      <c r="A45" s="20">
        <v>1500</v>
      </c>
      <c r="B45" s="21" t="s">
        <v>34</v>
      </c>
      <c r="C45" s="7">
        <v>530</v>
      </c>
      <c r="D45" s="6" t="str">
        <f>IF(C45&lt;=0,"",VLOOKUP(C45,[1]FF!A:D,2,0))</f>
        <v>PARTICIPACIONES Ramo 28</v>
      </c>
      <c r="E45" s="7" t="s">
        <v>38</v>
      </c>
      <c r="F45" s="7" t="s">
        <v>15</v>
      </c>
      <c r="G45" s="7">
        <v>246001</v>
      </c>
      <c r="H45" s="9" t="str">
        <f>IF(G45&lt;=0,"",VLOOKUP(G45,[1]COG!A:H,2,0))</f>
        <v>Material eléctrico</v>
      </c>
      <c r="I45" s="10">
        <v>1095</v>
      </c>
      <c r="J45" s="10">
        <v>1340</v>
      </c>
      <c r="K45" s="10">
        <v>95</v>
      </c>
      <c r="L45" s="10">
        <v>850</v>
      </c>
      <c r="M45" s="11">
        <f>SUM(Tabla13[[#This Row],[TRIMESTRE  I]:[TRIMESTRE IV]])</f>
        <v>3380</v>
      </c>
      <c r="N45" s="10" t="s">
        <v>19</v>
      </c>
      <c r="O45" s="22" t="s">
        <v>36</v>
      </c>
      <c r="P45" s="23" t="s">
        <v>44</v>
      </c>
    </row>
    <row r="46" spans="1:16" ht="33.75" x14ac:dyDescent="0.2">
      <c r="A46" s="20">
        <v>1500</v>
      </c>
      <c r="B46" s="21" t="s">
        <v>34</v>
      </c>
      <c r="C46" s="7">
        <v>530</v>
      </c>
      <c r="D46" s="6" t="str">
        <f>IF(C46&lt;=0,"",VLOOKUP(C46,[1]FF!A:D,2,0))</f>
        <v>PARTICIPACIONES Ramo 28</v>
      </c>
      <c r="E46" s="7" t="s">
        <v>40</v>
      </c>
      <c r="F46" s="7" t="s">
        <v>15</v>
      </c>
      <c r="G46" s="7">
        <v>246001</v>
      </c>
      <c r="H46" s="9" t="str">
        <f>IF(G46&lt;=0,"",VLOOKUP(G46,[1]COG!A:H,2,0))</f>
        <v>Material eléctrico</v>
      </c>
      <c r="I46" s="10">
        <v>425</v>
      </c>
      <c r="J46" s="10">
        <v>425</v>
      </c>
      <c r="K46" s="10">
        <v>0</v>
      </c>
      <c r="L46" s="10">
        <v>425</v>
      </c>
      <c r="M46" s="11">
        <f>SUM(Tabla13[[#This Row],[TRIMESTRE  I]:[TRIMESTRE IV]])</f>
        <v>1275</v>
      </c>
      <c r="N46" s="10" t="s">
        <v>19</v>
      </c>
      <c r="O46" s="22" t="s">
        <v>36</v>
      </c>
      <c r="P46" s="23" t="s">
        <v>44</v>
      </c>
    </row>
    <row r="47" spans="1:16" ht="22.5" x14ac:dyDescent="0.2">
      <c r="A47" s="20">
        <v>1500</v>
      </c>
      <c r="B47" s="21" t="s">
        <v>34</v>
      </c>
      <c r="C47" s="7">
        <v>530</v>
      </c>
      <c r="D47" s="6" t="str">
        <f>IF(C47&lt;=0,"",VLOOKUP(C47,[1]FF!A:D,2,0))</f>
        <v>PARTICIPACIONES Ramo 28</v>
      </c>
      <c r="E47" s="7" t="s">
        <v>43</v>
      </c>
      <c r="F47" s="7" t="s">
        <v>15</v>
      </c>
      <c r="G47" s="7">
        <v>246001</v>
      </c>
      <c r="H47" s="9" t="str">
        <f>IF(G47&lt;=0,"",VLOOKUP(G47,[1]COG!A:H,2,0))</f>
        <v>Material eléctrico</v>
      </c>
      <c r="I47" s="10">
        <v>425</v>
      </c>
      <c r="J47" s="10">
        <v>908</v>
      </c>
      <c r="K47" s="10">
        <v>825</v>
      </c>
      <c r="L47" s="10">
        <v>0</v>
      </c>
      <c r="M47" s="11">
        <f>SUM(Tabla13[[#This Row],[TRIMESTRE  I]:[TRIMESTRE IV]])</f>
        <v>2158</v>
      </c>
      <c r="N47" s="10" t="s">
        <v>19</v>
      </c>
      <c r="O47" s="22" t="s">
        <v>36</v>
      </c>
      <c r="P47" s="23" t="s">
        <v>44</v>
      </c>
    </row>
    <row r="48" spans="1:16" ht="22.5" x14ac:dyDescent="0.2">
      <c r="A48" s="20">
        <v>1500</v>
      </c>
      <c r="B48" s="21" t="s">
        <v>34</v>
      </c>
      <c r="C48" s="7">
        <v>530</v>
      </c>
      <c r="D48" s="6" t="str">
        <f>IF(C48&lt;=0,"",VLOOKUP(C48,[1]FF!A:D,2,0))</f>
        <v>PARTICIPACIONES Ramo 28</v>
      </c>
      <c r="E48" s="7" t="s">
        <v>38</v>
      </c>
      <c r="F48" s="7" t="s">
        <v>15</v>
      </c>
      <c r="G48" s="7">
        <v>246002</v>
      </c>
      <c r="H48" s="9" t="str">
        <f>IF(G48&lt;=0,"",VLOOKUP(G48,[1]COG!A:H,2,0))</f>
        <v>Material electrónico</v>
      </c>
      <c r="I48" s="10">
        <v>0</v>
      </c>
      <c r="J48" s="10">
        <v>600</v>
      </c>
      <c r="K48" s="10">
        <v>255</v>
      </c>
      <c r="L48" s="10">
        <v>213</v>
      </c>
      <c r="M48" s="11">
        <f>SUM(Tabla13[[#This Row],[TRIMESTRE  I]:[TRIMESTRE IV]])</f>
        <v>1068</v>
      </c>
      <c r="N48" s="10" t="s">
        <v>19</v>
      </c>
      <c r="O48" s="22" t="s">
        <v>36</v>
      </c>
      <c r="P48" s="23" t="s">
        <v>44</v>
      </c>
    </row>
    <row r="49" spans="1:16" ht="22.5" x14ac:dyDescent="0.2">
      <c r="A49" s="20">
        <v>1500</v>
      </c>
      <c r="B49" s="21" t="s">
        <v>34</v>
      </c>
      <c r="C49" s="7">
        <v>530</v>
      </c>
      <c r="D49" s="6" t="str">
        <f>IF(C49&lt;=0,"",VLOOKUP(C49,[1]FF!A:D,2,0))</f>
        <v>PARTICIPACIONES Ramo 28</v>
      </c>
      <c r="E49" s="7" t="s">
        <v>43</v>
      </c>
      <c r="F49" s="7" t="s">
        <v>15</v>
      </c>
      <c r="G49" s="7">
        <v>246002</v>
      </c>
      <c r="H49" s="9" t="str">
        <f>IF(G49&lt;=0,"",VLOOKUP(G49,[1]COG!A:H,2,0))</f>
        <v>Material electrónico</v>
      </c>
      <c r="I49" s="10">
        <v>1602</v>
      </c>
      <c r="J49" s="10">
        <v>1275</v>
      </c>
      <c r="K49" s="10">
        <v>1325</v>
      </c>
      <c r="L49" s="10">
        <v>0</v>
      </c>
      <c r="M49" s="11">
        <f>SUM(Tabla13[[#This Row],[TRIMESTRE  I]:[TRIMESTRE IV]])</f>
        <v>4202</v>
      </c>
      <c r="N49" s="10" t="s">
        <v>19</v>
      </c>
      <c r="O49" s="22" t="s">
        <v>36</v>
      </c>
      <c r="P49" s="23" t="s">
        <v>44</v>
      </c>
    </row>
    <row r="50" spans="1:16" ht="22.5" x14ac:dyDescent="0.2">
      <c r="A50" s="20">
        <v>1500</v>
      </c>
      <c r="B50" s="21" t="s">
        <v>34</v>
      </c>
      <c r="C50" s="7">
        <v>530</v>
      </c>
      <c r="D50" s="6" t="str">
        <f>IF(C50&lt;=0,"",VLOOKUP(C50,[1]FF!A:D,2,0))</f>
        <v>PARTICIPACIONES Ramo 28</v>
      </c>
      <c r="E50" s="7" t="s">
        <v>38</v>
      </c>
      <c r="F50" s="7" t="s">
        <v>15</v>
      </c>
      <c r="G50" s="7">
        <v>247001</v>
      </c>
      <c r="H50" s="9" t="str">
        <f>IF(G50&lt;=0,"",VLOOKUP(G50,[1]COG!A:H,2,0))</f>
        <v>Artículos metálicos para la construcción</v>
      </c>
      <c r="I50" s="10">
        <v>170</v>
      </c>
      <c r="J50" s="10">
        <v>0</v>
      </c>
      <c r="K50" s="10">
        <v>0</v>
      </c>
      <c r="L50" s="10">
        <v>0</v>
      </c>
      <c r="M50" s="11">
        <f>SUM(Tabla13[[#This Row],[TRIMESTRE  I]:[TRIMESTRE IV]])</f>
        <v>170</v>
      </c>
      <c r="N50" s="10" t="s">
        <v>19</v>
      </c>
      <c r="O50" s="22" t="s">
        <v>36</v>
      </c>
      <c r="P50" s="23" t="s">
        <v>44</v>
      </c>
    </row>
    <row r="51" spans="1:16" ht="22.5" x14ac:dyDescent="0.2">
      <c r="A51" s="20">
        <v>1500</v>
      </c>
      <c r="B51" s="21" t="s">
        <v>34</v>
      </c>
      <c r="C51" s="7">
        <v>530</v>
      </c>
      <c r="D51" s="6" t="str">
        <f>IF(C51&lt;=0,"",VLOOKUP(C51,[1]FF!A:D,2,0))</f>
        <v>PARTICIPACIONES Ramo 28</v>
      </c>
      <c r="E51" s="7" t="s">
        <v>38</v>
      </c>
      <c r="F51" s="7" t="s">
        <v>15</v>
      </c>
      <c r="G51" s="7">
        <v>249000</v>
      </c>
      <c r="H51" s="9" t="str">
        <f>IF(G51&lt;=0,"",VLOOKUP(G51,[1]COG!A:H,2,0))</f>
        <v>Otros materiales y artículos de construcción y reparación</v>
      </c>
      <c r="I51" s="10">
        <v>340</v>
      </c>
      <c r="J51" s="10">
        <v>900</v>
      </c>
      <c r="K51" s="10">
        <v>765</v>
      </c>
      <c r="L51" s="10">
        <v>255</v>
      </c>
      <c r="M51" s="11">
        <f>SUM(Tabla13[[#This Row],[TRIMESTRE  I]:[TRIMESTRE IV]])</f>
        <v>2260</v>
      </c>
      <c r="N51" s="10" t="s">
        <v>19</v>
      </c>
      <c r="O51" s="22" t="s">
        <v>36</v>
      </c>
      <c r="P51" s="23" t="s">
        <v>44</v>
      </c>
    </row>
    <row r="52" spans="1:16" ht="26.25" customHeight="1" x14ac:dyDescent="0.2">
      <c r="A52" s="20">
        <v>1500</v>
      </c>
      <c r="B52" s="21" t="s">
        <v>34</v>
      </c>
      <c r="C52" s="7">
        <v>530</v>
      </c>
      <c r="D52" s="6" t="str">
        <f>IF(C52&lt;=0,"",VLOOKUP(C52,[1]FF!A:D,2,0))</f>
        <v>PARTICIPACIONES Ramo 28</v>
      </c>
      <c r="E52" s="7" t="s">
        <v>38</v>
      </c>
      <c r="F52" s="7" t="s">
        <v>15</v>
      </c>
      <c r="G52" s="7">
        <v>251001</v>
      </c>
      <c r="H52" s="9" t="str">
        <f>IF(G52&lt;=0,"",VLOOKUP(G52,[1]COG!A:H,2,0))</f>
        <v>Gas Refrigerante</v>
      </c>
      <c r="I52" s="10">
        <v>0</v>
      </c>
      <c r="J52" s="10">
        <v>3050</v>
      </c>
      <c r="K52" s="10">
        <v>0</v>
      </c>
      <c r="L52" s="10">
        <v>0</v>
      </c>
      <c r="M52" s="11">
        <f>SUM(Tabla13[[#This Row],[TRIMESTRE  I]:[TRIMESTRE IV]])</f>
        <v>3050</v>
      </c>
      <c r="N52" s="10" t="s">
        <v>19</v>
      </c>
      <c r="O52" s="22" t="s">
        <v>36</v>
      </c>
      <c r="P52" s="23" t="s">
        <v>44</v>
      </c>
    </row>
    <row r="53" spans="1:16" ht="26.25" customHeight="1" x14ac:dyDescent="0.2">
      <c r="A53" s="20">
        <v>1500</v>
      </c>
      <c r="B53" s="21" t="s">
        <v>34</v>
      </c>
      <c r="C53" s="7">
        <v>530</v>
      </c>
      <c r="D53" s="6" t="str">
        <f>IF(C53&lt;=0,"",VLOOKUP(C53,[1]FF!A:D,2,0))</f>
        <v>PARTICIPACIONES Ramo 28</v>
      </c>
      <c r="E53" s="7" t="s">
        <v>38</v>
      </c>
      <c r="F53" s="7" t="s">
        <v>15</v>
      </c>
      <c r="G53" s="7">
        <v>253001</v>
      </c>
      <c r="H53" s="9" t="str">
        <f>IF(G53&lt;=0,"",VLOOKUP(G53,[1]COG!A:H,2,0))</f>
        <v>Material y productos químicos, farmacéuticos</v>
      </c>
      <c r="I53" s="10">
        <v>700</v>
      </c>
      <c r="J53" s="10">
        <v>0</v>
      </c>
      <c r="K53" s="10">
        <v>680</v>
      </c>
      <c r="L53" s="10">
        <v>0</v>
      </c>
      <c r="M53" s="11">
        <f>SUM(Tabla13[[#This Row],[TRIMESTRE  I]:[TRIMESTRE IV]])</f>
        <v>1380</v>
      </c>
      <c r="N53" s="10" t="s">
        <v>19</v>
      </c>
      <c r="O53" s="22" t="s">
        <v>36</v>
      </c>
      <c r="P53" s="23" t="s">
        <v>44</v>
      </c>
    </row>
    <row r="54" spans="1:16" ht="26.25" customHeight="1" x14ac:dyDescent="0.2">
      <c r="A54" s="20">
        <v>1500</v>
      </c>
      <c r="B54" s="21" t="s">
        <v>34</v>
      </c>
      <c r="C54" s="7">
        <v>530</v>
      </c>
      <c r="D54" s="6" t="str">
        <f>IF(C54&lt;=0,"",VLOOKUP(C54,[1]FF!A:D,2,0))</f>
        <v>PARTICIPACIONES Ramo 28</v>
      </c>
      <c r="E54" s="7" t="s">
        <v>35</v>
      </c>
      <c r="F54" s="7" t="s">
        <v>15</v>
      </c>
      <c r="G54" s="7">
        <v>261001</v>
      </c>
      <c r="H54" s="9" t="str">
        <f>IF(G54&lt;=0,"",VLOOKUP(G54,[1]COG!A:H,2,0))</f>
        <v>Combustibles</v>
      </c>
      <c r="I54" s="10">
        <v>19500</v>
      </c>
      <c r="J54" s="10">
        <v>19000</v>
      </c>
      <c r="K54" s="10">
        <v>18000</v>
      </c>
      <c r="L54" s="10">
        <v>17500</v>
      </c>
      <c r="M54" s="11">
        <f>SUM(Tabla13[[#This Row],[TRIMESTRE  I]:[TRIMESTRE IV]])</f>
        <v>74000</v>
      </c>
      <c r="N54" s="10" t="s">
        <v>17</v>
      </c>
      <c r="O54" s="22" t="s">
        <v>45</v>
      </c>
      <c r="P54" s="23" t="s">
        <v>37</v>
      </c>
    </row>
    <row r="55" spans="1:16" ht="26.25" customHeight="1" x14ac:dyDescent="0.2">
      <c r="A55" s="20">
        <v>1500</v>
      </c>
      <c r="B55" s="21" t="s">
        <v>34</v>
      </c>
      <c r="C55" s="7">
        <v>530</v>
      </c>
      <c r="D55" s="6" t="str">
        <f>IF(C55&lt;=0,"",VLOOKUP(C55,[1]FF!A:D,2,0))</f>
        <v>PARTICIPACIONES Ramo 28</v>
      </c>
      <c r="E55" s="7" t="s">
        <v>38</v>
      </c>
      <c r="F55" s="7" t="s">
        <v>15</v>
      </c>
      <c r="G55" s="7">
        <v>261001</v>
      </c>
      <c r="H55" s="9" t="str">
        <f>IF(G55&lt;=0,"",VLOOKUP(G55,[1]COG!A:H,2,0))</f>
        <v>Combustibles</v>
      </c>
      <c r="I55" s="10">
        <v>24900</v>
      </c>
      <c r="J55" s="10">
        <v>23000</v>
      </c>
      <c r="K55" s="10">
        <v>23000</v>
      </c>
      <c r="L55" s="10">
        <v>21500</v>
      </c>
      <c r="M55" s="11">
        <f>SUM(Tabla13[[#This Row],[TRIMESTRE  I]:[TRIMESTRE IV]])</f>
        <v>92400</v>
      </c>
      <c r="N55" s="10" t="s">
        <v>17</v>
      </c>
      <c r="O55" s="22" t="s">
        <v>45</v>
      </c>
      <c r="P55" s="23" t="s">
        <v>37</v>
      </c>
    </row>
    <row r="56" spans="1:16" ht="26.25" customHeight="1" x14ac:dyDescent="0.2">
      <c r="A56" s="20">
        <v>1500</v>
      </c>
      <c r="B56" s="21" t="s">
        <v>34</v>
      </c>
      <c r="C56" s="7">
        <v>530</v>
      </c>
      <c r="D56" s="6" t="str">
        <f>IF(C56&lt;=0,"",VLOOKUP(C56,[1]FF!A:D,2,0))</f>
        <v>PARTICIPACIONES Ramo 28</v>
      </c>
      <c r="E56" s="7" t="s">
        <v>39</v>
      </c>
      <c r="F56" s="7" t="s">
        <v>15</v>
      </c>
      <c r="G56" s="7">
        <v>261001</v>
      </c>
      <c r="H56" s="9" t="str">
        <f>IF(G56&lt;=0,"",VLOOKUP(G56,[1]COG!A:H,2,0))</f>
        <v>Combustibles</v>
      </c>
      <c r="I56" s="10">
        <v>21900</v>
      </c>
      <c r="J56" s="10">
        <v>21000</v>
      </c>
      <c r="K56" s="10">
        <v>19000</v>
      </c>
      <c r="L56" s="10">
        <v>18500</v>
      </c>
      <c r="M56" s="11">
        <f>SUM(Tabla13[[#This Row],[TRIMESTRE  I]:[TRIMESTRE IV]])</f>
        <v>80400</v>
      </c>
      <c r="N56" s="10" t="s">
        <v>17</v>
      </c>
      <c r="O56" s="22" t="s">
        <v>45</v>
      </c>
      <c r="P56" s="23" t="s">
        <v>37</v>
      </c>
    </row>
    <row r="57" spans="1:16" ht="33.75" x14ac:dyDescent="0.2">
      <c r="A57" s="20">
        <v>1500</v>
      </c>
      <c r="B57" s="21" t="s">
        <v>34</v>
      </c>
      <c r="C57" s="7">
        <v>530</v>
      </c>
      <c r="D57" s="6" t="str">
        <f>IF(C57&lt;=0,"",VLOOKUP(C57,[1]FF!A:D,2,0))</f>
        <v>PARTICIPACIONES Ramo 28</v>
      </c>
      <c r="E57" s="7" t="s">
        <v>40</v>
      </c>
      <c r="F57" s="7" t="s">
        <v>15</v>
      </c>
      <c r="G57" s="7">
        <v>261001</v>
      </c>
      <c r="H57" s="9" t="str">
        <f>IF(G57&lt;=0,"",VLOOKUP(G57,[1]COG!A:H,2,0))</f>
        <v>Combustibles</v>
      </c>
      <c r="I57" s="10">
        <v>22900</v>
      </c>
      <c r="J57" s="10">
        <v>21000</v>
      </c>
      <c r="K57" s="10">
        <v>19000</v>
      </c>
      <c r="L57" s="10">
        <v>18500</v>
      </c>
      <c r="M57" s="11">
        <f>SUM(Tabla13[[#This Row],[TRIMESTRE  I]:[TRIMESTRE IV]])</f>
        <v>81400</v>
      </c>
      <c r="N57" s="10" t="s">
        <v>17</v>
      </c>
      <c r="O57" s="22" t="s">
        <v>45</v>
      </c>
      <c r="P57" s="23" t="s">
        <v>37</v>
      </c>
    </row>
    <row r="58" spans="1:16" ht="26.25" customHeight="1" x14ac:dyDescent="0.2">
      <c r="A58" s="20">
        <v>1500</v>
      </c>
      <c r="B58" s="21" t="s">
        <v>34</v>
      </c>
      <c r="C58" s="7">
        <v>530</v>
      </c>
      <c r="D58" s="6" t="str">
        <f>IF(C58&lt;=0,"",VLOOKUP(C58,[1]FF!A:D,2,0))</f>
        <v>PARTICIPACIONES Ramo 28</v>
      </c>
      <c r="E58" s="7" t="s">
        <v>41</v>
      </c>
      <c r="F58" s="7" t="s">
        <v>15</v>
      </c>
      <c r="G58" s="7">
        <v>261001</v>
      </c>
      <c r="H58" s="9" t="str">
        <f>IF(G58&lt;=0,"",VLOOKUP(G58,[1]COG!A:H,2,0))</f>
        <v>Combustibles</v>
      </c>
      <c r="I58" s="10">
        <v>21400</v>
      </c>
      <c r="J58" s="10">
        <v>20000</v>
      </c>
      <c r="K58" s="10">
        <v>18000</v>
      </c>
      <c r="L58" s="10">
        <v>18000</v>
      </c>
      <c r="M58" s="11">
        <f>SUM(Tabla13[[#This Row],[TRIMESTRE  I]:[TRIMESTRE IV]])</f>
        <v>77400</v>
      </c>
      <c r="N58" s="10" t="s">
        <v>17</v>
      </c>
      <c r="O58" s="22" t="s">
        <v>45</v>
      </c>
      <c r="P58" s="23" t="s">
        <v>37</v>
      </c>
    </row>
    <row r="59" spans="1:16" ht="45" x14ac:dyDescent="0.2">
      <c r="A59" s="20">
        <v>1500</v>
      </c>
      <c r="B59" s="21" t="s">
        <v>34</v>
      </c>
      <c r="C59" s="7">
        <v>530</v>
      </c>
      <c r="D59" s="6" t="str">
        <f>IF(C59&lt;=0,"",VLOOKUP(C59,[1]FF!A:D,2,0))</f>
        <v>PARTICIPACIONES Ramo 28</v>
      </c>
      <c r="E59" s="7" t="s">
        <v>42</v>
      </c>
      <c r="F59" s="7" t="s">
        <v>15</v>
      </c>
      <c r="G59" s="7">
        <v>261001</v>
      </c>
      <c r="H59" s="9" t="str">
        <f>IF(G59&lt;=0,"",VLOOKUP(G59,[1]COG!A:H,2,0))</f>
        <v>Combustibles</v>
      </c>
      <c r="I59" s="10">
        <v>17000</v>
      </c>
      <c r="J59" s="10">
        <v>17000</v>
      </c>
      <c r="K59" s="10">
        <v>14000</v>
      </c>
      <c r="L59" s="10">
        <v>18000</v>
      </c>
      <c r="M59" s="11">
        <f>SUM(Tabla13[[#This Row],[TRIMESTRE  I]:[TRIMESTRE IV]])</f>
        <v>66000</v>
      </c>
      <c r="N59" s="10" t="s">
        <v>17</v>
      </c>
      <c r="O59" s="22" t="s">
        <v>45</v>
      </c>
      <c r="P59" s="23" t="s">
        <v>37</v>
      </c>
    </row>
    <row r="60" spans="1:16" ht="22.5" x14ac:dyDescent="0.2">
      <c r="A60" s="20">
        <v>1500</v>
      </c>
      <c r="B60" s="21" t="s">
        <v>34</v>
      </c>
      <c r="C60" s="7">
        <v>530</v>
      </c>
      <c r="D60" s="6" t="str">
        <f>IF(C60&lt;=0,"",VLOOKUP(C60,[1]FF!A:D,2,0))</f>
        <v>PARTICIPACIONES Ramo 28</v>
      </c>
      <c r="E60" s="7" t="s">
        <v>43</v>
      </c>
      <c r="F60" s="7" t="s">
        <v>15</v>
      </c>
      <c r="G60" s="7">
        <v>261001</v>
      </c>
      <c r="H60" s="9" t="str">
        <f>IF(G60&lt;=0,"",VLOOKUP(G60,[1]COG!A:H,2,0))</f>
        <v>Combustibles</v>
      </c>
      <c r="I60" s="10">
        <v>21400</v>
      </c>
      <c r="J60" s="10">
        <v>19000</v>
      </c>
      <c r="K60" s="10">
        <v>19000</v>
      </c>
      <c r="L60" s="10">
        <v>18000</v>
      </c>
      <c r="M60" s="11">
        <f>SUM(Tabla13[[#This Row],[TRIMESTRE  I]:[TRIMESTRE IV]])</f>
        <v>77400</v>
      </c>
      <c r="N60" s="10" t="s">
        <v>17</v>
      </c>
      <c r="O60" s="22" t="s">
        <v>45</v>
      </c>
      <c r="P60" s="23" t="s">
        <v>37</v>
      </c>
    </row>
    <row r="61" spans="1:16" ht="22.5" x14ac:dyDescent="0.2">
      <c r="A61" s="20">
        <v>1500</v>
      </c>
      <c r="B61" s="21" t="s">
        <v>34</v>
      </c>
      <c r="C61" s="7">
        <v>530</v>
      </c>
      <c r="D61" s="6" t="str">
        <f>IF(C61&lt;=0,"",VLOOKUP(C61,[1]FF!A:D,2,0))</f>
        <v>PARTICIPACIONES Ramo 28</v>
      </c>
      <c r="E61" s="7" t="s">
        <v>38</v>
      </c>
      <c r="F61" s="7" t="s">
        <v>15</v>
      </c>
      <c r="G61" s="7">
        <v>261002</v>
      </c>
      <c r="H61" s="9" t="str">
        <f>IF(G61&lt;=0,"",VLOOKUP(G61,[1]COG!A:H,2,0))</f>
        <v>Lubricantes y aditivos</v>
      </c>
      <c r="I61" s="10">
        <v>170</v>
      </c>
      <c r="J61" s="10">
        <v>2085</v>
      </c>
      <c r="K61" s="10">
        <v>255</v>
      </c>
      <c r="L61" s="10">
        <v>595</v>
      </c>
      <c r="M61" s="11">
        <f>SUM(Tabla13[[#This Row],[TRIMESTRE  I]:[TRIMESTRE IV]])</f>
        <v>3105</v>
      </c>
      <c r="N61" s="10" t="s">
        <v>19</v>
      </c>
      <c r="O61" s="22" t="s">
        <v>36</v>
      </c>
      <c r="P61" s="23" t="s">
        <v>44</v>
      </c>
    </row>
    <row r="62" spans="1:16" ht="22.5" x14ac:dyDescent="0.2">
      <c r="A62" s="20">
        <v>1500</v>
      </c>
      <c r="B62" s="21" t="s">
        <v>34</v>
      </c>
      <c r="C62" s="7">
        <v>530</v>
      </c>
      <c r="D62" s="6" t="str">
        <f>IF(C62&lt;=0,"",VLOOKUP(C62,[1]FF!A:D,2,0))</f>
        <v>PARTICIPACIONES Ramo 28</v>
      </c>
      <c r="E62" s="7" t="s">
        <v>35</v>
      </c>
      <c r="F62" s="7" t="s">
        <v>15</v>
      </c>
      <c r="G62" s="7">
        <v>271001</v>
      </c>
      <c r="H62" s="9" t="str">
        <f>IF(G62&lt;=0,"",VLOOKUP(G62,[1]COG!A:H,2,0))</f>
        <v>Ropa, vestuario y equipo</v>
      </c>
      <c r="I62" s="10">
        <v>600</v>
      </c>
      <c r="J62" s="10">
        <v>500</v>
      </c>
      <c r="K62" s="10">
        <v>0</v>
      </c>
      <c r="L62" s="10">
        <v>0</v>
      </c>
      <c r="M62" s="11">
        <f>SUM(Tabla13[[#This Row],[TRIMESTRE  I]:[TRIMESTRE IV]])</f>
        <v>1100</v>
      </c>
      <c r="N62" s="10" t="s">
        <v>19</v>
      </c>
      <c r="O62" s="22" t="s">
        <v>36</v>
      </c>
      <c r="P62" s="23" t="s">
        <v>44</v>
      </c>
    </row>
    <row r="63" spans="1:16" ht="45" x14ac:dyDescent="0.2">
      <c r="A63" s="20">
        <v>1500</v>
      </c>
      <c r="B63" s="21" t="s">
        <v>34</v>
      </c>
      <c r="C63" s="7">
        <v>530</v>
      </c>
      <c r="D63" s="6" t="str">
        <f>IF(C63&lt;=0,"",VLOOKUP(C63,[1]FF!A:D,2,0))</f>
        <v>PARTICIPACIONES Ramo 28</v>
      </c>
      <c r="E63" s="7" t="s">
        <v>42</v>
      </c>
      <c r="F63" s="7" t="s">
        <v>15</v>
      </c>
      <c r="G63" s="7">
        <v>271001</v>
      </c>
      <c r="H63" s="9" t="str">
        <f>IF(G63&lt;=0,"",VLOOKUP(G63,[1]COG!A:H,2,0))</f>
        <v>Ropa, vestuario y equipo</v>
      </c>
      <c r="I63" s="10">
        <v>1055</v>
      </c>
      <c r="J63" s="10">
        <v>1055</v>
      </c>
      <c r="K63" s="10">
        <v>0</v>
      </c>
      <c r="L63" s="10">
        <v>0</v>
      </c>
      <c r="M63" s="11">
        <f>SUM(Tabla13[[#This Row],[TRIMESTRE  I]:[TRIMESTRE IV]])</f>
        <v>2110</v>
      </c>
      <c r="N63" s="10" t="s">
        <v>19</v>
      </c>
      <c r="O63" s="22" t="s">
        <v>36</v>
      </c>
      <c r="P63" s="23" t="s">
        <v>44</v>
      </c>
    </row>
    <row r="64" spans="1:16" ht="22.5" x14ac:dyDescent="0.2">
      <c r="A64" s="20">
        <v>1500</v>
      </c>
      <c r="B64" s="21" t="s">
        <v>34</v>
      </c>
      <c r="C64" s="7">
        <v>530</v>
      </c>
      <c r="D64" s="6" t="str">
        <f>IF(C64&lt;=0,"",VLOOKUP(C64,[1]FF!A:D,2,0))</f>
        <v>PARTICIPACIONES Ramo 28</v>
      </c>
      <c r="E64" s="7" t="s">
        <v>38</v>
      </c>
      <c r="F64" s="7" t="s">
        <v>15</v>
      </c>
      <c r="G64" s="7">
        <v>291001</v>
      </c>
      <c r="H64" s="9" t="str">
        <f>IF(G64&lt;=0,"",VLOOKUP(G64,[1]COG!A:H,2,0))</f>
        <v>Herramientas Auxiliares de Trabajo</v>
      </c>
      <c r="I64" s="10">
        <v>370</v>
      </c>
      <c r="J64" s="10">
        <v>785</v>
      </c>
      <c r="K64" s="10">
        <v>510</v>
      </c>
      <c r="L64" s="10">
        <v>510</v>
      </c>
      <c r="M64" s="11">
        <f>SUM(Tabla13[[#This Row],[TRIMESTRE  I]:[TRIMESTRE IV]])</f>
        <v>2175</v>
      </c>
      <c r="N64" s="10" t="s">
        <v>19</v>
      </c>
      <c r="O64" s="22" t="s">
        <v>36</v>
      </c>
      <c r="P64" s="23" t="s">
        <v>44</v>
      </c>
    </row>
    <row r="65" spans="1:16" ht="27" x14ac:dyDescent="0.2">
      <c r="A65" s="20">
        <v>1500</v>
      </c>
      <c r="B65" s="21" t="s">
        <v>34</v>
      </c>
      <c r="C65" s="7">
        <v>530</v>
      </c>
      <c r="D65" s="6" t="str">
        <f>IF(C65&lt;=0,"",VLOOKUP(C65,[1]FF!A:D,2,0))</f>
        <v>PARTICIPACIONES Ramo 28</v>
      </c>
      <c r="E65" s="7" t="s">
        <v>38</v>
      </c>
      <c r="F65" s="7" t="s">
        <v>15</v>
      </c>
      <c r="G65" s="7">
        <v>292001</v>
      </c>
      <c r="H65" s="9" t="str">
        <f>IF(G65&lt;=0,"",VLOOKUP(G65,[1]COG!A:H,2,0))</f>
        <v>Refacciones y accesorios menores de edificios (candados, cerraduras, chapas, llaves)</v>
      </c>
      <c r="I65" s="10">
        <v>185</v>
      </c>
      <c r="J65" s="10">
        <v>843</v>
      </c>
      <c r="K65" s="10">
        <v>255</v>
      </c>
      <c r="L65" s="10">
        <v>255</v>
      </c>
      <c r="M65" s="11">
        <f>SUM(Tabla13[[#This Row],[TRIMESTRE  I]:[TRIMESTRE IV]])</f>
        <v>1538</v>
      </c>
      <c r="N65" s="10" t="s">
        <v>19</v>
      </c>
      <c r="O65" s="22" t="s">
        <v>36</v>
      </c>
      <c r="P65" s="23" t="s">
        <v>44</v>
      </c>
    </row>
    <row r="66" spans="1:16" ht="22.5" x14ac:dyDescent="0.2">
      <c r="A66" s="20">
        <v>1500</v>
      </c>
      <c r="B66" s="21" t="s">
        <v>34</v>
      </c>
      <c r="C66" s="7">
        <v>530</v>
      </c>
      <c r="D66" s="6" t="str">
        <f>IF(C66&lt;=0,"",VLOOKUP(C66,[1]FF!A:D,2,0))</f>
        <v>PARTICIPACIONES Ramo 28</v>
      </c>
      <c r="E66" s="7" t="s">
        <v>38</v>
      </c>
      <c r="F66" s="7" t="s">
        <v>15</v>
      </c>
      <c r="G66" s="7">
        <v>294001</v>
      </c>
      <c r="H66" s="9" t="str">
        <f>IF(G66&lt;=0,"",VLOOKUP(G66,[1]COG!A:H,2,0))</f>
        <v>Dispositivos Internos y Externos de Equipo de Computo</v>
      </c>
      <c r="I66" s="10">
        <v>925</v>
      </c>
      <c r="J66" s="10">
        <v>425</v>
      </c>
      <c r="K66" s="10">
        <v>425</v>
      </c>
      <c r="L66" s="10">
        <v>425</v>
      </c>
      <c r="M66" s="11">
        <f>SUM(Tabla13[[#This Row],[TRIMESTRE  I]:[TRIMESTRE IV]])</f>
        <v>2200</v>
      </c>
      <c r="N66" s="10" t="s">
        <v>19</v>
      </c>
      <c r="O66" s="22" t="s">
        <v>36</v>
      </c>
      <c r="P66" s="23" t="s">
        <v>44</v>
      </c>
    </row>
    <row r="67" spans="1:16" ht="33.75" x14ac:dyDescent="0.2">
      <c r="A67" s="20">
        <v>1500</v>
      </c>
      <c r="B67" s="21" t="s">
        <v>34</v>
      </c>
      <c r="C67" s="7">
        <v>530</v>
      </c>
      <c r="D67" s="6" t="str">
        <f>IF(C67&lt;=0,"",VLOOKUP(C67,[1]FF!A:D,2,0))</f>
        <v>PARTICIPACIONES Ramo 28</v>
      </c>
      <c r="E67" s="7" t="s">
        <v>40</v>
      </c>
      <c r="F67" s="7" t="s">
        <v>15</v>
      </c>
      <c r="G67" s="7">
        <v>294001</v>
      </c>
      <c r="H67" s="9" t="str">
        <f>IF(G67&lt;=0,"",VLOOKUP(G67,[1]COG!A:H,2,0))</f>
        <v>Dispositivos Internos y Externos de Equipo de Computo</v>
      </c>
      <c r="I67" s="10">
        <v>1650</v>
      </c>
      <c r="J67" s="10">
        <v>850</v>
      </c>
      <c r="K67" s="10">
        <v>2500</v>
      </c>
      <c r="L67" s="10">
        <v>850</v>
      </c>
      <c r="M67" s="11">
        <f>SUM(Tabla13[[#This Row],[TRIMESTRE  I]:[TRIMESTRE IV]])</f>
        <v>5850</v>
      </c>
      <c r="N67" s="10" t="s">
        <v>19</v>
      </c>
      <c r="O67" s="22" t="s">
        <v>36</v>
      </c>
      <c r="P67" s="23" t="s">
        <v>44</v>
      </c>
    </row>
    <row r="68" spans="1:16" ht="18" x14ac:dyDescent="0.2">
      <c r="A68" s="20">
        <v>1500</v>
      </c>
      <c r="B68" s="21" t="s">
        <v>34</v>
      </c>
      <c r="C68" s="7">
        <v>530</v>
      </c>
      <c r="D68" s="6" t="str">
        <f>IF(C68&lt;=0,"",VLOOKUP(C68,[1]FF!A:D,2,0))</f>
        <v>PARTICIPACIONES Ramo 28</v>
      </c>
      <c r="E68" s="7" t="s">
        <v>39</v>
      </c>
      <c r="F68" s="7" t="s">
        <v>15</v>
      </c>
      <c r="G68" s="7">
        <v>294002</v>
      </c>
      <c r="H68" s="9" t="str">
        <f>IF(G68&lt;=0,"",VLOOKUP(G68,[1]COG!A:H,2,0))</f>
        <v>Refacciones y Accesorios Menores de Equipo de Computo</v>
      </c>
      <c r="I68" s="10">
        <v>100</v>
      </c>
      <c r="J68" s="10">
        <v>425</v>
      </c>
      <c r="K68" s="10">
        <v>425</v>
      </c>
      <c r="L68" s="10">
        <v>425</v>
      </c>
      <c r="M68" s="11">
        <f>SUM(Tabla13[[#This Row],[TRIMESTRE  I]:[TRIMESTRE IV]])</f>
        <v>1375</v>
      </c>
      <c r="N68" s="10" t="s">
        <v>19</v>
      </c>
      <c r="O68" s="22" t="s">
        <v>36</v>
      </c>
      <c r="P68" s="23" t="s">
        <v>44</v>
      </c>
    </row>
    <row r="69" spans="1:16" ht="33.75" x14ac:dyDescent="0.2">
      <c r="A69" s="20">
        <v>1500</v>
      </c>
      <c r="B69" s="21" t="s">
        <v>34</v>
      </c>
      <c r="C69" s="7">
        <v>530</v>
      </c>
      <c r="D69" s="6" t="str">
        <f>IF(C69&lt;=0,"",VLOOKUP(C69,[1]FF!A:D,2,0))</f>
        <v>PARTICIPACIONES Ramo 28</v>
      </c>
      <c r="E69" s="7" t="s">
        <v>40</v>
      </c>
      <c r="F69" s="7" t="s">
        <v>15</v>
      </c>
      <c r="G69" s="7">
        <v>294002</v>
      </c>
      <c r="H69" s="9" t="str">
        <f>IF(G69&lt;=0,"",VLOOKUP(G69,[1]COG!A:H,2,0))</f>
        <v>Refacciones y Accesorios Menores de Equipo de Computo</v>
      </c>
      <c r="I69" s="10">
        <v>170</v>
      </c>
      <c r="J69" s="10">
        <v>170</v>
      </c>
      <c r="K69" s="10">
        <v>340</v>
      </c>
      <c r="L69" s="10">
        <v>1850</v>
      </c>
      <c r="M69" s="11">
        <f>SUM(Tabla13[[#This Row],[TRIMESTRE  I]:[TRIMESTRE IV]])</f>
        <v>2530</v>
      </c>
      <c r="N69" s="10" t="s">
        <v>19</v>
      </c>
      <c r="O69" s="22" t="s">
        <v>36</v>
      </c>
      <c r="P69" s="23" t="s">
        <v>44</v>
      </c>
    </row>
    <row r="70" spans="1:16" ht="22.5" x14ac:dyDescent="0.2">
      <c r="A70" s="20">
        <v>1500</v>
      </c>
      <c r="B70" s="21" t="s">
        <v>34</v>
      </c>
      <c r="C70" s="7">
        <v>530</v>
      </c>
      <c r="D70" s="6" t="str">
        <f>IF(C70&lt;=0,"",VLOOKUP(C70,[1]FF!A:D,2,0))</f>
        <v>PARTICIPACIONES Ramo 28</v>
      </c>
      <c r="E70" s="7" t="s">
        <v>38</v>
      </c>
      <c r="F70" s="7" t="s">
        <v>15</v>
      </c>
      <c r="G70" s="7">
        <v>296001</v>
      </c>
      <c r="H70" s="9" t="str">
        <f>IF(G70&lt;=0,"",VLOOKUP(G70,[1]COG!A:H,2,0))</f>
        <v>Herramientas, refacciones y accesorios</v>
      </c>
      <c r="I70" s="10">
        <v>500</v>
      </c>
      <c r="J70" s="10">
        <v>500</v>
      </c>
      <c r="K70" s="10">
        <v>595</v>
      </c>
      <c r="L70" s="10">
        <v>680</v>
      </c>
      <c r="M70" s="11">
        <f>SUM(Tabla13[[#This Row],[TRIMESTRE  I]:[TRIMESTRE IV]])</f>
        <v>2275</v>
      </c>
      <c r="N70" s="10" t="s">
        <v>19</v>
      </c>
      <c r="O70" s="22" t="s">
        <v>36</v>
      </c>
      <c r="P70" s="23" t="s">
        <v>44</v>
      </c>
    </row>
    <row r="71" spans="1:16" ht="33.75" x14ac:dyDescent="0.2">
      <c r="A71" s="20">
        <v>1500</v>
      </c>
      <c r="B71" s="21" t="s">
        <v>34</v>
      </c>
      <c r="C71" s="7">
        <v>530</v>
      </c>
      <c r="D71" s="6" t="str">
        <f>IF(C71&lt;=0,"",VLOOKUP(C71,[1]FF!A:D,2,0))</f>
        <v>PARTICIPACIONES Ramo 28</v>
      </c>
      <c r="E71" s="7" t="s">
        <v>40</v>
      </c>
      <c r="F71" s="7" t="s">
        <v>15</v>
      </c>
      <c r="G71" s="7">
        <v>296001</v>
      </c>
      <c r="H71" s="9" t="str">
        <f>IF(G71&lt;=0,"",VLOOKUP(G71,[1]COG!A:H,2,0))</f>
        <v>Herramientas, refacciones y accesorios</v>
      </c>
      <c r="I71" s="10">
        <v>425</v>
      </c>
      <c r="J71" s="10">
        <v>340</v>
      </c>
      <c r="K71" s="10">
        <v>200</v>
      </c>
      <c r="L71" s="10">
        <v>595</v>
      </c>
      <c r="M71" s="11">
        <f>SUM(Tabla13[[#This Row],[TRIMESTRE  I]:[TRIMESTRE IV]])</f>
        <v>1560</v>
      </c>
      <c r="N71" s="10" t="s">
        <v>19</v>
      </c>
      <c r="O71" s="22" t="s">
        <v>36</v>
      </c>
      <c r="P71" s="23" t="s">
        <v>44</v>
      </c>
    </row>
    <row r="72" spans="1:16" ht="30.75" customHeight="1" x14ac:dyDescent="0.2">
      <c r="A72" s="20">
        <v>1500</v>
      </c>
      <c r="B72" s="21" t="s">
        <v>34</v>
      </c>
      <c r="C72" s="7">
        <v>530</v>
      </c>
      <c r="D72" s="6" t="str">
        <f>IF(C72&lt;=0,"",VLOOKUP(C72,[1]FF!A:D,2,0))</f>
        <v>PARTICIPACIONES Ramo 28</v>
      </c>
      <c r="E72" s="7" t="s">
        <v>38</v>
      </c>
      <c r="F72" s="7" t="s">
        <v>15</v>
      </c>
      <c r="G72" s="7">
        <v>299001</v>
      </c>
      <c r="H72" s="9" t="str">
        <f>IF(G72&lt;=0,"",VLOOKUP(G72,[1]COG!A:H,2,0))</f>
        <v>Refacciones y accesorios menores otros bienes muebles</v>
      </c>
      <c r="I72" s="10">
        <v>500</v>
      </c>
      <c r="J72" s="10">
        <v>800</v>
      </c>
      <c r="K72" s="10">
        <v>0</v>
      </c>
      <c r="L72" s="10">
        <v>425</v>
      </c>
      <c r="M72" s="11">
        <f>SUM(Tabla13[[#This Row],[TRIMESTRE  I]:[TRIMESTRE IV]])</f>
        <v>1725</v>
      </c>
      <c r="N72" s="10" t="s">
        <v>19</v>
      </c>
      <c r="O72" s="22" t="s">
        <v>36</v>
      </c>
      <c r="P72" s="23" t="s">
        <v>44</v>
      </c>
    </row>
    <row r="73" spans="1:16" ht="30.75" customHeight="1" x14ac:dyDescent="0.2">
      <c r="A73" s="20">
        <v>1500</v>
      </c>
      <c r="B73" s="21" t="s">
        <v>34</v>
      </c>
      <c r="C73" s="7">
        <v>530</v>
      </c>
      <c r="D73" s="6" t="str">
        <f>IF(C73&lt;=0,"",VLOOKUP(C73,[1]FF!A:D,2,0))</f>
        <v>PARTICIPACIONES Ramo 28</v>
      </c>
      <c r="E73" s="7" t="s">
        <v>40</v>
      </c>
      <c r="F73" s="7" t="s">
        <v>15</v>
      </c>
      <c r="G73" s="7">
        <v>299001</v>
      </c>
      <c r="H73" s="9" t="str">
        <f>IF(G73&lt;=0,"",VLOOKUP(G73,[1]COG!A:H,2,0))</f>
        <v>Refacciones y accesorios menores otros bienes muebles</v>
      </c>
      <c r="I73" s="10">
        <v>340</v>
      </c>
      <c r="J73" s="10">
        <v>298</v>
      </c>
      <c r="K73" s="10">
        <v>536</v>
      </c>
      <c r="L73" s="10">
        <v>425</v>
      </c>
      <c r="M73" s="11">
        <f>SUM(Tabla13[[#This Row],[TRIMESTRE  I]:[TRIMESTRE IV]])</f>
        <v>1599</v>
      </c>
      <c r="N73" s="10" t="s">
        <v>19</v>
      </c>
      <c r="O73" s="22" t="s">
        <v>36</v>
      </c>
      <c r="P73" s="23" t="s">
        <v>44</v>
      </c>
    </row>
    <row r="74" spans="1:16" ht="30.75" customHeight="1" x14ac:dyDescent="0.2">
      <c r="A74" s="20">
        <v>1500</v>
      </c>
      <c r="B74" s="21" t="s">
        <v>34</v>
      </c>
      <c r="C74" s="7">
        <v>530</v>
      </c>
      <c r="D74" s="6" t="str">
        <f>IF(C74&lt;=0,"",VLOOKUP(C74,[1]FF!A:D,2,0))</f>
        <v>PARTICIPACIONES Ramo 28</v>
      </c>
      <c r="E74" s="7" t="s">
        <v>35</v>
      </c>
      <c r="F74" s="7" t="s">
        <v>22</v>
      </c>
      <c r="G74" s="7">
        <v>311001</v>
      </c>
      <c r="H74" s="9" t="str">
        <f>IF(G74&lt;=0,"",VLOOKUP(G74,[1]COG!A:H,2,0))</f>
        <v>Servicio de energía eléctrica</v>
      </c>
      <c r="I74" s="10">
        <f>79279+25000</f>
        <v>104279</v>
      </c>
      <c r="J74" s="10">
        <f>102568+25000</f>
        <v>127568</v>
      </c>
      <c r="K74" s="10">
        <f>144323+25000</f>
        <v>169323</v>
      </c>
      <c r="L74" s="10">
        <f>130672+25000</f>
        <v>155672</v>
      </c>
      <c r="M74" s="11">
        <f>SUM(Tabla13[[#This Row],[TRIMESTRE  I]:[TRIMESTRE IV]])</f>
        <v>556842</v>
      </c>
      <c r="N74" s="10" t="s">
        <v>19</v>
      </c>
      <c r="O74" s="22" t="s">
        <v>36</v>
      </c>
      <c r="P74" s="23" t="s">
        <v>44</v>
      </c>
    </row>
    <row r="75" spans="1:16" ht="30.75" customHeight="1" x14ac:dyDescent="0.2">
      <c r="A75" s="20">
        <v>1500</v>
      </c>
      <c r="B75" s="21" t="s">
        <v>34</v>
      </c>
      <c r="C75" s="7">
        <v>530</v>
      </c>
      <c r="D75" s="6" t="str">
        <f>IF(C75&lt;=0,"",VLOOKUP(C75,[1]FF!A:D,2,0))</f>
        <v>PARTICIPACIONES Ramo 28</v>
      </c>
      <c r="E75" s="7" t="s">
        <v>35</v>
      </c>
      <c r="F75" s="7" t="s">
        <v>22</v>
      </c>
      <c r="G75" s="7">
        <v>314001</v>
      </c>
      <c r="H75" s="9" t="str">
        <f>IF(G75&lt;=0,"",VLOOKUP(G75,[1]COG!A:H,2,0))</f>
        <v>Servicio telefónico</v>
      </c>
      <c r="I75" s="10">
        <v>17263</v>
      </c>
      <c r="J75" s="10">
        <v>16791</v>
      </c>
      <c r="K75" s="10">
        <v>11524</v>
      </c>
      <c r="L75" s="10">
        <v>17336</v>
      </c>
      <c r="M75" s="11">
        <f>SUM(Tabla13[[#This Row],[TRIMESTRE  I]:[TRIMESTRE IV]])</f>
        <v>62914</v>
      </c>
      <c r="N75" s="10" t="s">
        <v>19</v>
      </c>
      <c r="O75" s="22" t="s">
        <v>36</v>
      </c>
      <c r="P75" s="23" t="s">
        <v>44</v>
      </c>
    </row>
    <row r="76" spans="1:16" ht="30.75" customHeight="1" x14ac:dyDescent="0.2">
      <c r="A76" s="20">
        <v>1500</v>
      </c>
      <c r="B76" s="21" t="s">
        <v>34</v>
      </c>
      <c r="C76" s="7">
        <v>530</v>
      </c>
      <c r="D76" s="6" t="str">
        <f>IF(C76&lt;=0,"",VLOOKUP(C76,[1]FF!A:D,2,0))</f>
        <v>PARTICIPACIONES Ramo 28</v>
      </c>
      <c r="E76" s="7" t="s">
        <v>35</v>
      </c>
      <c r="F76" s="7" t="s">
        <v>22</v>
      </c>
      <c r="G76" s="7">
        <v>317001</v>
      </c>
      <c r="H76" s="9" t="str">
        <f>IF(G76&lt;=0,"",VLOOKUP(G76,[1]COG!A:H,2,0))</f>
        <v>Servicios de acceso de Internet, redes y procesamiento de información</v>
      </c>
      <c r="I76" s="10">
        <v>50001</v>
      </c>
      <c r="J76" s="10">
        <v>50001</v>
      </c>
      <c r="K76" s="10">
        <v>50001</v>
      </c>
      <c r="L76" s="10">
        <v>49997</v>
      </c>
      <c r="M76" s="11">
        <f>SUM(Tabla13[[#This Row],[TRIMESTRE  I]:[TRIMESTRE IV]])</f>
        <v>200000</v>
      </c>
      <c r="N76" s="10" t="s">
        <v>19</v>
      </c>
      <c r="O76" s="22" t="s">
        <v>36</v>
      </c>
      <c r="P76" s="23" t="s">
        <v>44</v>
      </c>
    </row>
    <row r="77" spans="1:16" ht="22.5" x14ac:dyDescent="0.2">
      <c r="A77" s="20">
        <v>1500</v>
      </c>
      <c r="B77" s="21" t="s">
        <v>34</v>
      </c>
      <c r="C77" s="7">
        <v>530</v>
      </c>
      <c r="D77" s="6" t="str">
        <f>IF(C77&lt;=0,"",VLOOKUP(C77,[1]FF!A:D,2,0))</f>
        <v>PARTICIPACIONES Ramo 28</v>
      </c>
      <c r="E77" s="7" t="s">
        <v>38</v>
      </c>
      <c r="F77" s="7" t="s">
        <v>22</v>
      </c>
      <c r="G77" s="7">
        <v>318001</v>
      </c>
      <c r="H77" s="9" t="str">
        <f>IF(G77&lt;=0,"",VLOOKUP(G77,[1]COG!A:H,2,0))</f>
        <v>Servicio postal y telegráfico</v>
      </c>
      <c r="I77" s="10">
        <v>1000</v>
      </c>
      <c r="J77" s="10">
        <v>0</v>
      </c>
      <c r="K77" s="10">
        <v>2000</v>
      </c>
      <c r="L77" s="10">
        <v>0</v>
      </c>
      <c r="M77" s="11">
        <f>SUM(Tabla13[[#This Row],[TRIMESTRE  I]:[TRIMESTRE IV]])</f>
        <v>3000</v>
      </c>
      <c r="N77" s="10" t="s">
        <v>19</v>
      </c>
      <c r="O77" s="22" t="s">
        <v>36</v>
      </c>
      <c r="P77" s="23" t="s">
        <v>44</v>
      </c>
    </row>
    <row r="78" spans="1:16" ht="12.75" x14ac:dyDescent="0.2">
      <c r="A78" s="20">
        <v>1500</v>
      </c>
      <c r="B78" s="21" t="s">
        <v>34</v>
      </c>
      <c r="C78" s="7">
        <v>530</v>
      </c>
      <c r="D78" s="6" t="str">
        <f>IF(C78&lt;=0,"",VLOOKUP(C78,[1]FF!A:D,2,0))</f>
        <v>PARTICIPACIONES Ramo 28</v>
      </c>
      <c r="E78" s="7" t="s">
        <v>39</v>
      </c>
      <c r="F78" s="7" t="s">
        <v>22</v>
      </c>
      <c r="G78" s="7">
        <v>318001</v>
      </c>
      <c r="H78" s="9" t="str">
        <f>IF(G78&lt;=0,"",VLOOKUP(G78,[1]COG!A:H,2,0))</f>
        <v>Servicio postal y telegráfico</v>
      </c>
      <c r="I78" s="10">
        <v>800</v>
      </c>
      <c r="J78" s="10">
        <v>4300</v>
      </c>
      <c r="K78" s="10">
        <v>400</v>
      </c>
      <c r="L78" s="10">
        <v>2000</v>
      </c>
      <c r="M78" s="11">
        <f>SUM(Tabla13[[#This Row],[TRIMESTRE  I]:[TRIMESTRE IV]])</f>
        <v>7500</v>
      </c>
      <c r="N78" s="10" t="s">
        <v>19</v>
      </c>
      <c r="O78" s="22" t="s">
        <v>36</v>
      </c>
      <c r="P78" s="23" t="s">
        <v>44</v>
      </c>
    </row>
    <row r="79" spans="1:16" ht="22.5" x14ac:dyDescent="0.2">
      <c r="A79" s="20">
        <v>1500</v>
      </c>
      <c r="B79" s="21" t="s">
        <v>34</v>
      </c>
      <c r="C79" s="7">
        <v>530</v>
      </c>
      <c r="D79" s="6" t="str">
        <f>IF(C79&lt;=0,"",VLOOKUP(C79,[1]FF!A:D,2,0))</f>
        <v>PARTICIPACIONES Ramo 28</v>
      </c>
      <c r="E79" s="7" t="s">
        <v>41</v>
      </c>
      <c r="F79" s="7" t="s">
        <v>22</v>
      </c>
      <c r="G79" s="7">
        <v>318001</v>
      </c>
      <c r="H79" s="9" t="str">
        <f>IF(G79&lt;=0,"",VLOOKUP(G79,[1]COG!A:H,2,0))</f>
        <v>Servicio postal y telegráfico</v>
      </c>
      <c r="I79" s="10">
        <v>2500</v>
      </c>
      <c r="J79" s="10">
        <v>3682</v>
      </c>
      <c r="K79" s="10">
        <v>2500</v>
      </c>
      <c r="L79" s="10">
        <v>5000</v>
      </c>
      <c r="M79" s="11">
        <f>SUM(Tabla13[[#This Row],[TRIMESTRE  I]:[TRIMESTRE IV]])</f>
        <v>13682</v>
      </c>
      <c r="N79" s="10" t="s">
        <v>19</v>
      </c>
      <c r="O79" s="22" t="s">
        <v>36</v>
      </c>
      <c r="P79" s="23" t="s">
        <v>44</v>
      </c>
    </row>
    <row r="80" spans="1:16" ht="45" x14ac:dyDescent="0.2">
      <c r="A80" s="20">
        <v>1500</v>
      </c>
      <c r="B80" s="21" t="s">
        <v>34</v>
      </c>
      <c r="C80" s="7">
        <v>530</v>
      </c>
      <c r="D80" s="6" t="str">
        <f>IF(C80&lt;=0,"",VLOOKUP(C80,[1]FF!A:D,2,0))</f>
        <v>PARTICIPACIONES Ramo 28</v>
      </c>
      <c r="E80" s="7" t="s">
        <v>42</v>
      </c>
      <c r="F80" s="7" t="s">
        <v>22</v>
      </c>
      <c r="G80" s="7">
        <v>318001</v>
      </c>
      <c r="H80" s="9" t="str">
        <f>IF(G80&lt;=0,"",VLOOKUP(G80,[1]COG!A:H,2,0))</f>
        <v>Servicio postal y telegráfico</v>
      </c>
      <c r="I80" s="10">
        <v>636</v>
      </c>
      <c r="J80" s="10">
        <v>840</v>
      </c>
      <c r="K80" s="10">
        <v>580</v>
      </c>
      <c r="L80" s="10">
        <v>0</v>
      </c>
      <c r="M80" s="11">
        <f>SUM(Tabla13[[#This Row],[TRIMESTRE  I]:[TRIMESTRE IV]])</f>
        <v>2056</v>
      </c>
      <c r="N80" s="10" t="s">
        <v>19</v>
      </c>
      <c r="O80" s="22" t="s">
        <v>36</v>
      </c>
      <c r="P80" s="23" t="s">
        <v>44</v>
      </c>
    </row>
    <row r="81" spans="1:16" ht="22.5" x14ac:dyDescent="0.2">
      <c r="A81" s="20">
        <v>1500</v>
      </c>
      <c r="B81" s="21" t="s">
        <v>34</v>
      </c>
      <c r="C81" s="7">
        <v>530</v>
      </c>
      <c r="D81" s="6" t="str">
        <f>IF(C81&lt;=0,"",VLOOKUP(C81,[1]FF!A:D,2,0))</f>
        <v>PARTICIPACIONES Ramo 28</v>
      </c>
      <c r="E81" s="7" t="s">
        <v>43</v>
      </c>
      <c r="F81" s="7" t="s">
        <v>22</v>
      </c>
      <c r="G81" s="7">
        <v>318001</v>
      </c>
      <c r="H81" s="9" t="str">
        <f>IF(G81&lt;=0,"",VLOOKUP(G81,[1]COG!A:H,2,0))</f>
        <v>Servicio postal y telegráfico</v>
      </c>
      <c r="I81" s="10">
        <v>1000</v>
      </c>
      <c r="J81" s="10">
        <v>3000</v>
      </c>
      <c r="K81" s="10">
        <v>1967</v>
      </c>
      <c r="L81" s="10">
        <v>122</v>
      </c>
      <c r="M81" s="11">
        <f>SUM(Tabla13[[#This Row],[TRIMESTRE  I]:[TRIMESTRE IV]])</f>
        <v>6089</v>
      </c>
      <c r="N81" s="10" t="s">
        <v>19</v>
      </c>
      <c r="O81" s="22" t="s">
        <v>36</v>
      </c>
      <c r="P81" s="23" t="s">
        <v>44</v>
      </c>
    </row>
    <row r="82" spans="1:16" ht="22.5" x14ac:dyDescent="0.2">
      <c r="A82" s="20">
        <v>1500</v>
      </c>
      <c r="B82" s="21" t="s">
        <v>34</v>
      </c>
      <c r="C82" s="7">
        <v>530</v>
      </c>
      <c r="D82" s="6" t="str">
        <f>IF(C82&lt;=0,"",VLOOKUP(C82,[1]FF!A:D,2,0))</f>
        <v>PARTICIPACIONES Ramo 28</v>
      </c>
      <c r="E82" s="7" t="s">
        <v>38</v>
      </c>
      <c r="F82" s="7" t="s">
        <v>22</v>
      </c>
      <c r="G82" s="7">
        <v>323001</v>
      </c>
      <c r="H82" s="9" t="str">
        <f>IF(G82&lt;=0,"",VLOOKUP(G82,[1]COG!A:H,2,0))</f>
        <v>Arrendamiento de maquinaria y equipo</v>
      </c>
      <c r="I82" s="10">
        <v>100</v>
      </c>
      <c r="J82" s="10">
        <v>0</v>
      </c>
      <c r="K82" s="10">
        <v>0</v>
      </c>
      <c r="L82" s="10">
        <v>0</v>
      </c>
      <c r="M82" s="11">
        <f>SUM(Tabla13[[#This Row],[TRIMESTRE  I]:[TRIMESTRE IV]])</f>
        <v>100</v>
      </c>
      <c r="N82" s="10" t="s">
        <v>19</v>
      </c>
      <c r="O82" s="22" t="s">
        <v>36</v>
      </c>
      <c r="P82" s="23" t="s">
        <v>44</v>
      </c>
    </row>
    <row r="83" spans="1:16" ht="33.75" x14ac:dyDescent="0.2">
      <c r="A83" s="20">
        <v>1500</v>
      </c>
      <c r="B83" s="21" t="s">
        <v>34</v>
      </c>
      <c r="C83" s="7">
        <v>530</v>
      </c>
      <c r="D83" s="6" t="str">
        <f>IF(C83&lt;=0,"",VLOOKUP(C83,[1]FF!A:D,2,0))</f>
        <v>PARTICIPACIONES Ramo 28</v>
      </c>
      <c r="E83" s="7" t="s">
        <v>40</v>
      </c>
      <c r="F83" s="7" t="s">
        <v>22</v>
      </c>
      <c r="G83" s="7">
        <v>329001</v>
      </c>
      <c r="H83" s="9" t="str">
        <f>IF(G83&lt;=0,"",VLOOKUP(G83,[1]COG!A:H,2,0))</f>
        <v>Arrendamientos especiales</v>
      </c>
      <c r="I83" s="10">
        <v>0</v>
      </c>
      <c r="J83" s="10">
        <v>1000</v>
      </c>
      <c r="K83" s="10">
        <v>0</v>
      </c>
      <c r="L83" s="10">
        <v>1000</v>
      </c>
      <c r="M83" s="11">
        <f>SUM(Tabla13[[#This Row],[TRIMESTRE  I]:[TRIMESTRE IV]])</f>
        <v>2000</v>
      </c>
      <c r="N83" s="10" t="s">
        <v>19</v>
      </c>
      <c r="O83" s="22" t="s">
        <v>36</v>
      </c>
      <c r="P83" s="23" t="s">
        <v>44</v>
      </c>
    </row>
    <row r="84" spans="1:16" ht="22.5" x14ac:dyDescent="0.2">
      <c r="A84" s="20">
        <v>1500</v>
      </c>
      <c r="B84" s="21" t="s">
        <v>34</v>
      </c>
      <c r="C84" s="7">
        <v>530</v>
      </c>
      <c r="D84" s="6" t="str">
        <f>IF(C84&lt;=0,"",VLOOKUP(C84,[1]FF!A:D,2,0))</f>
        <v>PARTICIPACIONES Ramo 28</v>
      </c>
      <c r="E84" s="7" t="s">
        <v>43</v>
      </c>
      <c r="F84" s="7" t="s">
        <v>22</v>
      </c>
      <c r="G84" s="7">
        <v>329001</v>
      </c>
      <c r="H84" s="9" t="str">
        <f>IF(G84&lt;=0,"",VLOOKUP(G84,[1]COG!A:H,2,0))</f>
        <v>Arrendamientos especiales</v>
      </c>
      <c r="I84" s="10">
        <v>500</v>
      </c>
      <c r="J84" s="10">
        <v>500</v>
      </c>
      <c r="K84" s="10">
        <v>0</v>
      </c>
      <c r="L84" s="10">
        <v>0</v>
      </c>
      <c r="M84" s="11">
        <f>SUM(Tabla13[[#This Row],[TRIMESTRE  I]:[TRIMESTRE IV]])</f>
        <v>1000</v>
      </c>
      <c r="N84" s="10" t="s">
        <v>19</v>
      </c>
      <c r="O84" s="22" t="s">
        <v>36</v>
      </c>
      <c r="P84" s="23" t="s">
        <v>44</v>
      </c>
    </row>
    <row r="85" spans="1:16" ht="22.5" x14ac:dyDescent="0.2">
      <c r="A85" s="20">
        <v>1500</v>
      </c>
      <c r="B85" s="21" t="s">
        <v>34</v>
      </c>
      <c r="C85" s="7">
        <v>530</v>
      </c>
      <c r="D85" s="6" t="str">
        <f>IF(C85&lt;=0,"",VLOOKUP(C85,[1]FF!A:D,2,0))</f>
        <v>PARTICIPACIONES Ramo 28</v>
      </c>
      <c r="E85" s="7" t="s">
        <v>35</v>
      </c>
      <c r="F85" s="7" t="s">
        <v>22</v>
      </c>
      <c r="G85" s="7">
        <v>334002</v>
      </c>
      <c r="H85" s="9" t="str">
        <f>IF(G85&lt;=0,"",VLOOKUP(G85,[1]COG!A:H,2,0))</f>
        <v>Servicios de Capacitación</v>
      </c>
      <c r="I85" s="10">
        <v>3000</v>
      </c>
      <c r="J85" s="10">
        <v>1500</v>
      </c>
      <c r="K85" s="10">
        <v>3204</v>
      </c>
      <c r="L85" s="10">
        <v>700</v>
      </c>
      <c r="M85" s="11">
        <f>SUM(Tabla13[[#This Row],[TRIMESTRE  I]:[TRIMESTRE IV]])</f>
        <v>8404</v>
      </c>
      <c r="N85" s="10" t="s">
        <v>19</v>
      </c>
      <c r="O85" s="22" t="s">
        <v>36</v>
      </c>
      <c r="P85" s="23" t="s">
        <v>44</v>
      </c>
    </row>
    <row r="86" spans="1:16" ht="33.75" x14ac:dyDescent="0.2">
      <c r="A86" s="20">
        <v>1500</v>
      </c>
      <c r="B86" s="21" t="s">
        <v>34</v>
      </c>
      <c r="C86" s="7">
        <v>530</v>
      </c>
      <c r="D86" s="6" t="str">
        <f>IF(C86&lt;=0,"",VLOOKUP(C86,[1]FF!A:D,2,0))</f>
        <v>PARTICIPACIONES Ramo 28</v>
      </c>
      <c r="E86" s="7" t="s">
        <v>40</v>
      </c>
      <c r="F86" s="7" t="s">
        <v>22</v>
      </c>
      <c r="G86" s="7">
        <v>334002</v>
      </c>
      <c r="H86" s="9" t="str">
        <f>IF(G86&lt;=0,"",VLOOKUP(G86,[1]COG!A:H,2,0))</f>
        <v>Servicios de Capacitación</v>
      </c>
      <c r="I86" s="10">
        <v>1275</v>
      </c>
      <c r="J86" s="10">
        <v>4250</v>
      </c>
      <c r="K86" s="10">
        <v>1275</v>
      </c>
      <c r="L86" s="10">
        <v>3400</v>
      </c>
      <c r="M86" s="11">
        <f>SUM(Tabla13[[#This Row],[TRIMESTRE  I]:[TRIMESTRE IV]])</f>
        <v>10200</v>
      </c>
      <c r="N86" s="10" t="s">
        <v>19</v>
      </c>
      <c r="O86" s="22" t="s">
        <v>36</v>
      </c>
      <c r="P86" s="23" t="s">
        <v>44</v>
      </c>
    </row>
    <row r="87" spans="1:16" ht="45" x14ac:dyDescent="0.2">
      <c r="A87" s="20">
        <v>1500</v>
      </c>
      <c r="B87" s="21" t="s">
        <v>34</v>
      </c>
      <c r="C87" s="7">
        <v>530</v>
      </c>
      <c r="D87" s="24" t="str">
        <f>IF(C87&lt;=0,"",VLOOKUP(C87,[1]FF!A:D,2,0))</f>
        <v>PARTICIPACIONES Ramo 28</v>
      </c>
      <c r="E87" s="7" t="s">
        <v>42</v>
      </c>
      <c r="F87" s="7" t="s">
        <v>22</v>
      </c>
      <c r="G87" s="7">
        <v>334002</v>
      </c>
      <c r="H87" s="25" t="str">
        <f>IF(G87&lt;=0,"",VLOOKUP(G87,[1]COG!A:H,2,0))</f>
        <v>Servicios de Capacitación</v>
      </c>
      <c r="I87" s="26">
        <v>600</v>
      </c>
      <c r="J87" s="26">
        <v>336</v>
      </c>
      <c r="K87" s="26">
        <v>336</v>
      </c>
      <c r="L87" s="26">
        <v>136</v>
      </c>
      <c r="M87" s="27">
        <f>SUM(Tabla13[[#This Row],[TRIMESTRE  I]:[TRIMESTRE IV]])</f>
        <v>1408</v>
      </c>
      <c r="N87" s="10" t="s">
        <v>19</v>
      </c>
      <c r="O87" s="22" t="s">
        <v>36</v>
      </c>
      <c r="P87" s="23" t="s">
        <v>44</v>
      </c>
    </row>
    <row r="88" spans="1:16" ht="22.5" x14ac:dyDescent="0.2">
      <c r="A88" s="20">
        <v>1500</v>
      </c>
      <c r="B88" s="21" t="s">
        <v>34</v>
      </c>
      <c r="C88" s="7">
        <v>530</v>
      </c>
      <c r="D88" s="6" t="str">
        <f>IF(C88&lt;=0,"",VLOOKUP(C88,[1]FF!A:D,2,0))</f>
        <v>PARTICIPACIONES Ramo 28</v>
      </c>
      <c r="E88" s="7" t="s">
        <v>43</v>
      </c>
      <c r="F88" s="7" t="s">
        <v>22</v>
      </c>
      <c r="G88" s="7">
        <v>334002</v>
      </c>
      <c r="H88" s="9" t="str">
        <f>IF(G88&lt;=0,"",VLOOKUP(G88,[1]COG!A:H,2,0))</f>
        <v>Servicios de Capacitación</v>
      </c>
      <c r="I88" s="10">
        <v>275</v>
      </c>
      <c r="J88" s="10">
        <v>3850</v>
      </c>
      <c r="K88" s="10">
        <v>3825</v>
      </c>
      <c r="L88" s="10">
        <v>940</v>
      </c>
      <c r="M88" s="11">
        <f>SUM(Tabla13[[#This Row],[TRIMESTRE  I]:[TRIMESTRE IV]])</f>
        <v>8890</v>
      </c>
      <c r="N88" s="10" t="s">
        <v>19</v>
      </c>
      <c r="O88" s="22" t="s">
        <v>36</v>
      </c>
      <c r="P88" s="23" t="s">
        <v>44</v>
      </c>
    </row>
    <row r="89" spans="1:16" ht="22.5" x14ac:dyDescent="0.2">
      <c r="A89" s="20">
        <v>1500</v>
      </c>
      <c r="B89" s="21" t="s">
        <v>34</v>
      </c>
      <c r="C89" s="7">
        <v>530</v>
      </c>
      <c r="D89" s="6" t="str">
        <f>IF(C89&lt;=0,"",VLOOKUP(C89,[1]FF!A:D,2,0))</f>
        <v>PARTICIPACIONES Ramo 28</v>
      </c>
      <c r="E89" s="7" t="s">
        <v>35</v>
      </c>
      <c r="F89" s="7" t="s">
        <v>22</v>
      </c>
      <c r="G89" s="7">
        <v>336001</v>
      </c>
      <c r="H89" s="9" t="str">
        <f>IF(G89&lt;=0,"",VLOOKUP(G89,[1]COG!A:H,2,0))</f>
        <v>Servicio de Fotocopiado, Enmicado y Encuadernación de Documentos.</v>
      </c>
      <c r="I89" s="10">
        <v>500</v>
      </c>
      <c r="J89" s="10">
        <v>480</v>
      </c>
      <c r="K89" s="10">
        <v>460</v>
      </c>
      <c r="L89" s="10">
        <v>200</v>
      </c>
      <c r="M89" s="11">
        <f>SUM(Tabla13[[#This Row],[TRIMESTRE  I]:[TRIMESTRE IV]])</f>
        <v>1640</v>
      </c>
      <c r="N89" s="10" t="s">
        <v>19</v>
      </c>
      <c r="O89" s="22" t="s">
        <v>36</v>
      </c>
      <c r="P89" s="23" t="s">
        <v>44</v>
      </c>
    </row>
    <row r="90" spans="1:16" ht="18" x14ac:dyDescent="0.2">
      <c r="A90" s="20">
        <v>1500</v>
      </c>
      <c r="B90" s="21" t="s">
        <v>34</v>
      </c>
      <c r="C90" s="7">
        <v>530</v>
      </c>
      <c r="D90" s="6" t="str">
        <f>IF(C90&lt;=0,"",VLOOKUP(C90,[1]FF!A:D,2,0))</f>
        <v>PARTICIPACIONES Ramo 28</v>
      </c>
      <c r="E90" s="7" t="s">
        <v>39</v>
      </c>
      <c r="F90" s="7" t="s">
        <v>22</v>
      </c>
      <c r="G90" s="7">
        <v>336001</v>
      </c>
      <c r="H90" s="9" t="str">
        <f>IF(G90&lt;=0,"",VLOOKUP(G90,[1]COG!A:H,2,0))</f>
        <v>Servicio de Fotocopiado, Enmicado y Encuadernación de Documentos.</v>
      </c>
      <c r="I90" s="10">
        <v>200</v>
      </c>
      <c r="J90" s="10">
        <v>700</v>
      </c>
      <c r="K90" s="10">
        <v>1600</v>
      </c>
      <c r="L90" s="10">
        <v>800</v>
      </c>
      <c r="M90" s="11">
        <f>SUM(Tabla13[[#This Row],[TRIMESTRE  I]:[TRIMESTRE IV]])</f>
        <v>3300</v>
      </c>
      <c r="N90" s="10" t="s">
        <v>19</v>
      </c>
      <c r="O90" s="22" t="s">
        <v>36</v>
      </c>
      <c r="P90" s="23" t="s">
        <v>44</v>
      </c>
    </row>
    <row r="91" spans="1:16" ht="33.75" x14ac:dyDescent="0.2">
      <c r="A91" s="20">
        <v>1500</v>
      </c>
      <c r="B91" s="21" t="s">
        <v>34</v>
      </c>
      <c r="C91" s="7">
        <v>530</v>
      </c>
      <c r="D91" s="6" t="str">
        <f>IF(C91&lt;=0,"",VLOOKUP(C91,[1]FF!A:D,2,0))</f>
        <v>PARTICIPACIONES Ramo 28</v>
      </c>
      <c r="E91" s="7" t="s">
        <v>40</v>
      </c>
      <c r="F91" s="7" t="s">
        <v>22</v>
      </c>
      <c r="G91" s="7">
        <v>336001</v>
      </c>
      <c r="H91" s="9" t="str">
        <f>IF(G91&lt;=0,"",VLOOKUP(G91,[1]COG!A:H,2,0))</f>
        <v>Servicio de Fotocopiado, Enmicado y Encuadernación de Documentos.</v>
      </c>
      <c r="I91" s="10">
        <v>425</v>
      </c>
      <c r="J91" s="10">
        <v>200</v>
      </c>
      <c r="K91" s="10">
        <v>400</v>
      </c>
      <c r="L91" s="10">
        <v>0</v>
      </c>
      <c r="M91" s="11">
        <f>SUM(Tabla13[[#This Row],[TRIMESTRE  I]:[TRIMESTRE IV]])</f>
        <v>1025</v>
      </c>
      <c r="N91" s="10" t="s">
        <v>19</v>
      </c>
      <c r="O91" s="22" t="s">
        <v>36</v>
      </c>
      <c r="P91" s="23" t="s">
        <v>44</v>
      </c>
    </row>
    <row r="92" spans="1:16" ht="22.5" x14ac:dyDescent="0.2">
      <c r="A92" s="20">
        <v>1500</v>
      </c>
      <c r="B92" s="21" t="s">
        <v>34</v>
      </c>
      <c r="C92" s="7">
        <v>530</v>
      </c>
      <c r="D92" s="6" t="str">
        <f>IF(C92&lt;=0,"",VLOOKUP(C92,[1]FF!A:D,2,0))</f>
        <v>PARTICIPACIONES Ramo 28</v>
      </c>
      <c r="E92" s="7" t="s">
        <v>41</v>
      </c>
      <c r="F92" s="7" t="s">
        <v>22</v>
      </c>
      <c r="G92" s="7">
        <v>336001</v>
      </c>
      <c r="H92" s="9" t="str">
        <f>IF(G92&lt;=0,"",VLOOKUP(G92,[1]COG!A:H,2,0))</f>
        <v>Servicio de Fotocopiado, Enmicado y Encuadernación de Documentos.</v>
      </c>
      <c r="I92" s="10">
        <v>1000</v>
      </c>
      <c r="J92" s="10">
        <v>1500</v>
      </c>
      <c r="K92" s="10">
        <v>1500</v>
      </c>
      <c r="L92" s="10">
        <v>1000</v>
      </c>
      <c r="M92" s="11">
        <f>SUM(Tabla13[[#This Row],[TRIMESTRE  I]:[TRIMESTRE IV]])</f>
        <v>5000</v>
      </c>
      <c r="N92" s="10" t="s">
        <v>19</v>
      </c>
      <c r="O92" s="22" t="s">
        <v>36</v>
      </c>
      <c r="P92" s="23" t="s">
        <v>44</v>
      </c>
    </row>
    <row r="93" spans="1:16" ht="45" x14ac:dyDescent="0.2">
      <c r="A93" s="20">
        <v>1500</v>
      </c>
      <c r="B93" s="21" t="s">
        <v>34</v>
      </c>
      <c r="C93" s="7">
        <v>530</v>
      </c>
      <c r="D93" s="6" t="str">
        <f>IF(C93&lt;=0,"",VLOOKUP(C93,[1]FF!A:D,2,0))</f>
        <v>PARTICIPACIONES Ramo 28</v>
      </c>
      <c r="E93" s="7" t="s">
        <v>42</v>
      </c>
      <c r="F93" s="7" t="s">
        <v>22</v>
      </c>
      <c r="G93" s="7">
        <v>336001</v>
      </c>
      <c r="H93" s="9" t="str">
        <f>IF(G93&lt;=0,"",VLOOKUP(G93,[1]COG!A:H,2,0))</f>
        <v>Servicio de Fotocopiado, Enmicado y Encuadernación de Documentos.</v>
      </c>
      <c r="I93" s="10">
        <v>200</v>
      </c>
      <c r="J93" s="10">
        <v>440</v>
      </c>
      <c r="K93" s="10">
        <v>440</v>
      </c>
      <c r="L93" s="10">
        <v>240</v>
      </c>
      <c r="M93" s="11">
        <f>SUM(Tabla13[[#This Row],[TRIMESTRE  I]:[TRIMESTRE IV]])</f>
        <v>1320</v>
      </c>
      <c r="N93" s="10" t="s">
        <v>19</v>
      </c>
      <c r="O93" s="22" t="s">
        <v>36</v>
      </c>
      <c r="P93" s="23" t="s">
        <v>44</v>
      </c>
    </row>
    <row r="94" spans="1:16" ht="22.5" x14ac:dyDescent="0.2">
      <c r="A94" s="20">
        <v>1500</v>
      </c>
      <c r="B94" s="21" t="s">
        <v>34</v>
      </c>
      <c r="C94" s="7">
        <v>530</v>
      </c>
      <c r="D94" s="6" t="str">
        <f>IF(C94&lt;=0,"",VLOOKUP(C94,[1]FF!A:D,2,0))</f>
        <v>PARTICIPACIONES Ramo 28</v>
      </c>
      <c r="E94" s="7" t="s">
        <v>38</v>
      </c>
      <c r="F94" s="7" t="s">
        <v>22</v>
      </c>
      <c r="G94" s="7">
        <v>336002</v>
      </c>
      <c r="H94" s="9" t="str">
        <f>IF(G94&lt;=0,"",VLOOKUP(G94,[1]COG!A:H,2,0))</f>
        <v>Servicio de Impresión y Elaboración de Material Informativo</v>
      </c>
      <c r="I94" s="10">
        <v>1000</v>
      </c>
      <c r="J94" s="10">
        <v>0</v>
      </c>
      <c r="K94" s="10">
        <v>850</v>
      </c>
      <c r="L94" s="10">
        <v>0</v>
      </c>
      <c r="M94" s="11">
        <f>SUM(Tabla13[[#This Row],[TRIMESTRE  I]:[TRIMESTRE IV]])</f>
        <v>1850</v>
      </c>
      <c r="N94" s="10" t="s">
        <v>19</v>
      </c>
      <c r="O94" s="22" t="s">
        <v>36</v>
      </c>
      <c r="P94" s="23" t="s">
        <v>44</v>
      </c>
    </row>
    <row r="95" spans="1:16" ht="18" x14ac:dyDescent="0.2">
      <c r="A95" s="20">
        <v>1500</v>
      </c>
      <c r="B95" s="21" t="s">
        <v>34</v>
      </c>
      <c r="C95" s="7">
        <v>530</v>
      </c>
      <c r="D95" s="6" t="str">
        <f>IF(C95&lt;=0,"",VLOOKUP(C95,[1]FF!A:D,2,0))</f>
        <v>PARTICIPACIONES Ramo 28</v>
      </c>
      <c r="E95" s="7" t="s">
        <v>39</v>
      </c>
      <c r="F95" s="7" t="s">
        <v>22</v>
      </c>
      <c r="G95" s="7">
        <v>336002</v>
      </c>
      <c r="H95" s="9" t="str">
        <f>IF(G95&lt;=0,"",VLOOKUP(G95,[1]COG!A:H,2,0))</f>
        <v>Servicio de Impresión y Elaboración de Material Informativo</v>
      </c>
      <c r="I95" s="10">
        <v>425</v>
      </c>
      <c r="J95" s="10">
        <v>1700</v>
      </c>
      <c r="K95" s="10">
        <v>1700</v>
      </c>
      <c r="L95" s="10">
        <v>425</v>
      </c>
      <c r="M95" s="11">
        <f>SUM(Tabla13[[#This Row],[TRIMESTRE  I]:[TRIMESTRE IV]])</f>
        <v>4250</v>
      </c>
      <c r="N95" s="10" t="s">
        <v>19</v>
      </c>
      <c r="O95" s="22" t="s">
        <v>36</v>
      </c>
      <c r="P95" s="23" t="s">
        <v>44</v>
      </c>
    </row>
    <row r="96" spans="1:16" ht="22.5" x14ac:dyDescent="0.2">
      <c r="A96" s="20">
        <v>1500</v>
      </c>
      <c r="B96" s="21" t="s">
        <v>34</v>
      </c>
      <c r="C96" s="7">
        <v>530</v>
      </c>
      <c r="D96" s="6" t="str">
        <f>IF(C96&lt;=0,"",VLOOKUP(C96,[1]FF!A:D,2,0))</f>
        <v>PARTICIPACIONES Ramo 28</v>
      </c>
      <c r="E96" s="7" t="s">
        <v>43</v>
      </c>
      <c r="F96" s="7" t="s">
        <v>22</v>
      </c>
      <c r="G96" s="7">
        <v>336002</v>
      </c>
      <c r="H96" s="9" t="str">
        <f>IF(G96&lt;=0,"",VLOOKUP(G96,[1]COG!A:H,2,0))</f>
        <v>Servicio de Impresión y Elaboración de Material Informativo</v>
      </c>
      <c r="I96" s="10">
        <v>350</v>
      </c>
      <c r="J96" s="10">
        <v>500</v>
      </c>
      <c r="K96" s="10">
        <v>400</v>
      </c>
      <c r="L96" s="10">
        <v>350</v>
      </c>
      <c r="M96" s="11">
        <f>SUM(Tabla13[[#This Row],[TRIMESTRE  I]:[TRIMESTRE IV]])</f>
        <v>1600</v>
      </c>
      <c r="N96" s="10" t="s">
        <v>19</v>
      </c>
      <c r="O96" s="22" t="s">
        <v>36</v>
      </c>
      <c r="P96" s="23" t="s">
        <v>44</v>
      </c>
    </row>
    <row r="97" spans="1:16" ht="22.5" x14ac:dyDescent="0.2">
      <c r="A97" s="20">
        <v>1500</v>
      </c>
      <c r="B97" s="21" t="s">
        <v>34</v>
      </c>
      <c r="C97" s="7">
        <v>530</v>
      </c>
      <c r="D97" s="6" t="str">
        <f>IF(C97&lt;=0,"",VLOOKUP(C97,[1]FF!A:D,2,0))</f>
        <v>PARTICIPACIONES Ramo 28</v>
      </c>
      <c r="E97" s="7" t="s">
        <v>38</v>
      </c>
      <c r="F97" s="7" t="s">
        <v>22</v>
      </c>
      <c r="G97" s="7">
        <v>341001</v>
      </c>
      <c r="H97" s="9" t="str">
        <f>IF(G97&lt;=0,"",VLOOKUP(G97,[1]COG!A:H,2,0))</f>
        <v>Comisiones, descuentos y otros servicios bancarios</v>
      </c>
      <c r="I97" s="10">
        <v>0</v>
      </c>
      <c r="J97" s="10">
        <v>0</v>
      </c>
      <c r="K97" s="10">
        <v>0</v>
      </c>
      <c r="L97" s="10">
        <v>500</v>
      </c>
      <c r="M97" s="11">
        <f>SUM(Tabla13[[#This Row],[TRIMESTRE  I]:[TRIMESTRE IV]])</f>
        <v>500</v>
      </c>
      <c r="N97" s="10" t="s">
        <v>19</v>
      </c>
      <c r="O97" s="22" t="s">
        <v>36</v>
      </c>
      <c r="P97" s="23" t="s">
        <v>44</v>
      </c>
    </row>
    <row r="98" spans="1:16" ht="12.75" x14ac:dyDescent="0.2">
      <c r="A98" s="20">
        <v>1500</v>
      </c>
      <c r="B98" s="21" t="s">
        <v>34</v>
      </c>
      <c r="C98" s="7">
        <v>530</v>
      </c>
      <c r="D98" s="6" t="str">
        <f>IF(C98&lt;=0,"",VLOOKUP(C98,[1]FF!A:D,2,0))</f>
        <v>PARTICIPACIONES Ramo 28</v>
      </c>
      <c r="E98" s="7" t="s">
        <v>39</v>
      </c>
      <c r="F98" s="7" t="s">
        <v>22</v>
      </c>
      <c r="G98" s="7">
        <v>351001</v>
      </c>
      <c r="H98" s="9" t="str">
        <f>IF(G98&lt;=0,"",VLOOKUP(G98,[1]COG!A:H,2,0))</f>
        <v>Mantenimiento de inmuebles</v>
      </c>
      <c r="I98" s="10">
        <v>1700</v>
      </c>
      <c r="J98" s="10">
        <v>1275</v>
      </c>
      <c r="K98" s="10">
        <v>850</v>
      </c>
      <c r="L98" s="10">
        <v>850</v>
      </c>
      <c r="M98" s="11">
        <f>SUM(Tabla13[[#This Row],[TRIMESTRE  I]:[TRIMESTRE IV]])</f>
        <v>4675</v>
      </c>
      <c r="N98" s="10" t="s">
        <v>19</v>
      </c>
      <c r="O98" s="22" t="s">
        <v>36</v>
      </c>
      <c r="P98" s="23" t="s">
        <v>44</v>
      </c>
    </row>
    <row r="99" spans="1:16" ht="22.5" x14ac:dyDescent="0.2">
      <c r="A99" s="20">
        <v>1500</v>
      </c>
      <c r="B99" s="21" t="s">
        <v>34</v>
      </c>
      <c r="C99" s="7">
        <v>530</v>
      </c>
      <c r="D99" s="24" t="str">
        <f>IF(C99&lt;=0,"",VLOOKUP(C99,[1]FF!A:D,2,0))</f>
        <v>PARTICIPACIONES Ramo 28</v>
      </c>
      <c r="E99" s="7" t="s">
        <v>38</v>
      </c>
      <c r="F99" s="7" t="s">
        <v>22</v>
      </c>
      <c r="G99" s="28">
        <v>351002</v>
      </c>
      <c r="H99" s="25" t="str">
        <f>IF(G99&lt;=0,"",VLOOKUP(G99,[1]COG!A:H,2,0))</f>
        <v>Fumigación de Inmuebles</v>
      </c>
      <c r="I99" s="26">
        <v>1500</v>
      </c>
      <c r="J99" s="26">
        <v>6400</v>
      </c>
      <c r="K99" s="26">
        <v>0</v>
      </c>
      <c r="L99" s="26">
        <v>0</v>
      </c>
      <c r="M99" s="27">
        <f>SUM(Tabla13[[#This Row],[TRIMESTRE  I]:[TRIMESTRE IV]])</f>
        <v>7900</v>
      </c>
      <c r="N99" s="10" t="s">
        <v>19</v>
      </c>
      <c r="O99" s="22" t="s">
        <v>36</v>
      </c>
      <c r="P99" s="23" t="s">
        <v>44</v>
      </c>
    </row>
    <row r="100" spans="1:16" ht="22.5" x14ac:dyDescent="0.2">
      <c r="A100" s="20">
        <v>1500</v>
      </c>
      <c r="B100" s="21" t="s">
        <v>34</v>
      </c>
      <c r="C100" s="7">
        <v>530</v>
      </c>
      <c r="D100" s="6" t="str">
        <f>IF(C100&lt;=0,"",VLOOKUP(C100,[1]FF!A:D,2,0))</f>
        <v>PARTICIPACIONES Ramo 28</v>
      </c>
      <c r="E100" s="7" t="s">
        <v>35</v>
      </c>
      <c r="F100" s="7" t="s">
        <v>22</v>
      </c>
      <c r="G100" s="7">
        <v>352001</v>
      </c>
      <c r="H100" s="9" t="str">
        <f>IF(G100&lt;=0,"",VLOOKUP(G100,[1]COG!A:H,2,0))</f>
        <v>Mantenimiento de mobiliario y equipo</v>
      </c>
      <c r="I100" s="10">
        <v>0</v>
      </c>
      <c r="J100" s="10">
        <v>1600</v>
      </c>
      <c r="K100" s="10">
        <v>0</v>
      </c>
      <c r="L100" s="10">
        <v>0</v>
      </c>
      <c r="M100" s="11">
        <f>SUM(Tabla13[[#This Row],[TRIMESTRE  I]:[TRIMESTRE IV]])</f>
        <v>1600</v>
      </c>
      <c r="N100" s="10" t="s">
        <v>19</v>
      </c>
      <c r="O100" s="22" t="s">
        <v>36</v>
      </c>
      <c r="P100" s="23" t="s">
        <v>44</v>
      </c>
    </row>
    <row r="101" spans="1:16" ht="22.5" x14ac:dyDescent="0.2">
      <c r="A101" s="20">
        <v>1500</v>
      </c>
      <c r="B101" s="21" t="s">
        <v>34</v>
      </c>
      <c r="C101" s="7">
        <v>530</v>
      </c>
      <c r="D101" s="6" t="str">
        <f>IF(C101&lt;=0,"",VLOOKUP(C101,[1]FF!A:D,2,0))</f>
        <v>PARTICIPACIONES Ramo 28</v>
      </c>
      <c r="E101" s="7" t="s">
        <v>38</v>
      </c>
      <c r="F101" s="7" t="s">
        <v>22</v>
      </c>
      <c r="G101" s="7">
        <v>352001</v>
      </c>
      <c r="H101" s="9" t="str">
        <f>IF(G101&lt;=0,"",VLOOKUP(G101,[1]COG!A:H,2,0))</f>
        <v>Mantenimiento de mobiliario y equipo</v>
      </c>
      <c r="I101" s="10">
        <v>1547</v>
      </c>
      <c r="J101" s="10">
        <v>8050</v>
      </c>
      <c r="K101" s="10">
        <v>0</v>
      </c>
      <c r="L101" s="10">
        <v>0</v>
      </c>
      <c r="M101" s="11">
        <f>SUM(Tabla13[[#This Row],[TRIMESTRE  I]:[TRIMESTRE IV]])</f>
        <v>9597</v>
      </c>
      <c r="N101" s="10" t="s">
        <v>19</v>
      </c>
      <c r="O101" s="22" t="s">
        <v>36</v>
      </c>
      <c r="P101" s="23" t="s">
        <v>44</v>
      </c>
    </row>
    <row r="102" spans="1:16" ht="12.75" x14ac:dyDescent="0.2">
      <c r="A102" s="20">
        <v>1500</v>
      </c>
      <c r="B102" s="21" t="s">
        <v>34</v>
      </c>
      <c r="C102" s="7">
        <v>530</v>
      </c>
      <c r="D102" s="6" t="str">
        <f>IF(C102&lt;=0,"",VLOOKUP(C102,[1]FF!A:D,2,0))</f>
        <v>PARTICIPACIONES Ramo 28</v>
      </c>
      <c r="E102" s="7" t="s">
        <v>39</v>
      </c>
      <c r="F102" s="7" t="s">
        <v>22</v>
      </c>
      <c r="G102" s="7">
        <v>352001</v>
      </c>
      <c r="H102" s="9" t="str">
        <f>IF(G102&lt;=0,"",VLOOKUP(G102,[1]COG!A:H,2,0))</f>
        <v>Mantenimiento de mobiliario y equipo</v>
      </c>
      <c r="I102" s="10">
        <v>1700</v>
      </c>
      <c r="J102" s="10">
        <v>1700</v>
      </c>
      <c r="K102" s="10">
        <v>1700</v>
      </c>
      <c r="L102" s="10">
        <v>0</v>
      </c>
      <c r="M102" s="11">
        <f>SUM(Tabla13[[#This Row],[TRIMESTRE  I]:[TRIMESTRE IV]])</f>
        <v>5100</v>
      </c>
      <c r="N102" s="10" t="s">
        <v>19</v>
      </c>
      <c r="O102" s="22" t="s">
        <v>36</v>
      </c>
      <c r="P102" s="23" t="s">
        <v>44</v>
      </c>
    </row>
    <row r="103" spans="1:16" ht="33.75" x14ac:dyDescent="0.2">
      <c r="A103" s="20">
        <v>1500</v>
      </c>
      <c r="B103" s="21" t="s">
        <v>34</v>
      </c>
      <c r="C103" s="7">
        <v>530</v>
      </c>
      <c r="D103" s="6" t="str">
        <f>IF(C103&lt;=0,"",VLOOKUP(C103,[1]FF!A:D,2,0))</f>
        <v>PARTICIPACIONES Ramo 28</v>
      </c>
      <c r="E103" s="7" t="s">
        <v>40</v>
      </c>
      <c r="F103" s="7" t="s">
        <v>22</v>
      </c>
      <c r="G103" s="7">
        <v>352001</v>
      </c>
      <c r="H103" s="9" t="str">
        <f>IF(G103&lt;=0,"",VLOOKUP(G103,[1]COG!A:H,2,0))</f>
        <v>Mantenimiento de mobiliario y equipo</v>
      </c>
      <c r="I103" s="10">
        <v>1700</v>
      </c>
      <c r="J103" s="10">
        <v>850</v>
      </c>
      <c r="K103" s="10">
        <v>1692</v>
      </c>
      <c r="L103" s="10">
        <v>0</v>
      </c>
      <c r="M103" s="11">
        <f>SUM(Tabla13[[#This Row],[TRIMESTRE  I]:[TRIMESTRE IV]])</f>
        <v>4242</v>
      </c>
      <c r="N103" s="10" t="s">
        <v>19</v>
      </c>
      <c r="O103" s="22" t="s">
        <v>36</v>
      </c>
      <c r="P103" s="23" t="s">
        <v>44</v>
      </c>
    </row>
    <row r="104" spans="1:16" ht="22.5" x14ac:dyDescent="0.2">
      <c r="A104" s="20">
        <v>1500</v>
      </c>
      <c r="B104" s="21" t="s">
        <v>34</v>
      </c>
      <c r="C104" s="7">
        <v>530</v>
      </c>
      <c r="D104" s="6" t="str">
        <f>IF(C104&lt;=0,"",VLOOKUP(C104,[1]FF!A:D,2,0))</f>
        <v>PARTICIPACIONES Ramo 28</v>
      </c>
      <c r="E104" s="7" t="s">
        <v>41</v>
      </c>
      <c r="F104" s="7" t="s">
        <v>22</v>
      </c>
      <c r="G104" s="7">
        <v>352001</v>
      </c>
      <c r="H104" s="9" t="str">
        <f>IF(G104&lt;=0,"",VLOOKUP(G104,[1]COG!A:H,2,0))</f>
        <v>Mantenimiento de mobiliario y equipo</v>
      </c>
      <c r="I104" s="10">
        <v>1700</v>
      </c>
      <c r="J104" s="10">
        <v>3000</v>
      </c>
      <c r="K104" s="10">
        <v>0</v>
      </c>
      <c r="L104" s="10">
        <v>0</v>
      </c>
      <c r="M104" s="11">
        <f>SUM(Tabla13[[#This Row],[TRIMESTRE  I]:[TRIMESTRE IV]])</f>
        <v>4700</v>
      </c>
      <c r="N104" s="10" t="s">
        <v>19</v>
      </c>
      <c r="O104" s="22" t="s">
        <v>36</v>
      </c>
      <c r="P104" s="23" t="s">
        <v>44</v>
      </c>
    </row>
    <row r="105" spans="1:16" ht="45" x14ac:dyDescent="0.2">
      <c r="A105" s="20">
        <v>1500</v>
      </c>
      <c r="B105" s="21" t="s">
        <v>34</v>
      </c>
      <c r="C105" s="7">
        <v>530</v>
      </c>
      <c r="D105" s="6" t="str">
        <f>IF(C105&lt;=0,"",VLOOKUP(C105,[1]FF!A:D,2,0))</f>
        <v>PARTICIPACIONES Ramo 28</v>
      </c>
      <c r="E105" s="7" t="s">
        <v>42</v>
      </c>
      <c r="F105" s="7" t="s">
        <v>22</v>
      </c>
      <c r="G105" s="7">
        <v>352001</v>
      </c>
      <c r="H105" s="9" t="str">
        <f>IF(G105&lt;=0,"",VLOOKUP(G105,[1]COG!A:H,2,0))</f>
        <v>Mantenimiento de mobiliario y equipo</v>
      </c>
      <c r="I105" s="10">
        <v>0</v>
      </c>
      <c r="J105" s="10">
        <v>1500</v>
      </c>
      <c r="K105" s="10">
        <v>0</v>
      </c>
      <c r="L105" s="10">
        <v>0</v>
      </c>
      <c r="M105" s="11">
        <f>SUM(Tabla13[[#This Row],[TRIMESTRE  I]:[TRIMESTRE IV]])</f>
        <v>1500</v>
      </c>
      <c r="N105" s="10" t="s">
        <v>19</v>
      </c>
      <c r="O105" s="22" t="s">
        <v>36</v>
      </c>
      <c r="P105" s="23" t="s">
        <v>44</v>
      </c>
    </row>
    <row r="106" spans="1:16" ht="22.5" x14ac:dyDescent="0.2">
      <c r="A106" s="20">
        <v>1500</v>
      </c>
      <c r="B106" s="21" t="s">
        <v>34</v>
      </c>
      <c r="C106" s="7">
        <v>530</v>
      </c>
      <c r="D106" s="6" t="str">
        <f>IF(C106&lt;=0,"",VLOOKUP(C106,[1]FF!A:D,2,0))</f>
        <v>PARTICIPACIONES Ramo 28</v>
      </c>
      <c r="E106" s="7" t="s">
        <v>43</v>
      </c>
      <c r="F106" s="7" t="s">
        <v>22</v>
      </c>
      <c r="G106" s="7">
        <v>352001</v>
      </c>
      <c r="H106" s="9" t="str">
        <f>IF(G106&lt;=0,"",VLOOKUP(G106,[1]COG!A:H,2,0))</f>
        <v>Mantenimiento de mobiliario y equipo</v>
      </c>
      <c r="I106" s="10">
        <v>1425</v>
      </c>
      <c r="J106" s="10">
        <v>500</v>
      </c>
      <c r="K106" s="10">
        <v>850</v>
      </c>
      <c r="L106" s="10">
        <v>425</v>
      </c>
      <c r="M106" s="11">
        <f>SUM(Tabla13[[#This Row],[TRIMESTRE  I]:[TRIMESTRE IV]])</f>
        <v>3200</v>
      </c>
      <c r="N106" s="10" t="s">
        <v>19</v>
      </c>
      <c r="O106" s="22" t="s">
        <v>36</v>
      </c>
      <c r="P106" s="23" t="s">
        <v>44</v>
      </c>
    </row>
    <row r="107" spans="1:16" ht="22.5" x14ac:dyDescent="0.2">
      <c r="A107" s="20">
        <v>1500</v>
      </c>
      <c r="B107" s="21" t="s">
        <v>34</v>
      </c>
      <c r="C107" s="7">
        <v>530</v>
      </c>
      <c r="D107" s="6" t="str">
        <f>IF(C107&lt;=0,"",VLOOKUP(C107,[1]FF!A:D,2,0))</f>
        <v>PARTICIPACIONES Ramo 28</v>
      </c>
      <c r="E107" s="7" t="s">
        <v>43</v>
      </c>
      <c r="F107" s="7" t="s">
        <v>22</v>
      </c>
      <c r="G107" s="7">
        <v>352002</v>
      </c>
      <c r="H107" s="9" t="str">
        <f>IF(G107&lt;=0,"",VLOOKUP(G107,[1]COG!A:H,2,0))</f>
        <v>Gastos de instalación</v>
      </c>
      <c r="I107" s="10">
        <v>100</v>
      </c>
      <c r="J107" s="10">
        <v>0</v>
      </c>
      <c r="K107" s="10">
        <v>0</v>
      </c>
      <c r="L107" s="10">
        <v>0</v>
      </c>
      <c r="M107" s="11">
        <f>SUM(Tabla13[[#This Row],[TRIMESTRE  I]:[TRIMESTRE IV]])</f>
        <v>100</v>
      </c>
      <c r="N107" s="10" t="s">
        <v>19</v>
      </c>
      <c r="O107" s="22" t="s">
        <v>36</v>
      </c>
      <c r="P107" s="23" t="s">
        <v>44</v>
      </c>
    </row>
    <row r="108" spans="1:16" ht="27" x14ac:dyDescent="0.2">
      <c r="A108" s="20">
        <v>1500</v>
      </c>
      <c r="B108" s="21" t="s">
        <v>34</v>
      </c>
      <c r="C108" s="7">
        <v>530</v>
      </c>
      <c r="D108" s="6" t="str">
        <f>IF(C108&lt;=0,"",VLOOKUP(C108,[1]FF!A:D,2,0))</f>
        <v>PARTICIPACIONES Ramo 28</v>
      </c>
      <c r="E108" s="7" t="s">
        <v>38</v>
      </c>
      <c r="F108" s="7" t="s">
        <v>22</v>
      </c>
      <c r="G108" s="7">
        <v>353001</v>
      </c>
      <c r="H108" s="9" t="str">
        <f>IF(G108&lt;=0,"",VLOOKUP(G108,[1]COG!A:H,2,0))</f>
        <v>Instalación, reparación y mantenimiento de equipo de cómputo y tecnología  de la información</v>
      </c>
      <c r="I108" s="10">
        <v>500</v>
      </c>
      <c r="J108" s="10">
        <v>5425</v>
      </c>
      <c r="K108" s="10">
        <v>5425</v>
      </c>
      <c r="L108" s="10">
        <v>850</v>
      </c>
      <c r="M108" s="11">
        <f>SUM(Tabla13[[#This Row],[TRIMESTRE  I]:[TRIMESTRE IV]])</f>
        <v>12200</v>
      </c>
      <c r="N108" s="10" t="s">
        <v>19</v>
      </c>
      <c r="O108" s="22" t="s">
        <v>36</v>
      </c>
      <c r="P108" s="23" t="s">
        <v>44</v>
      </c>
    </row>
    <row r="109" spans="1:16" ht="27" x14ac:dyDescent="0.2">
      <c r="A109" s="20">
        <v>1500</v>
      </c>
      <c r="B109" s="21" t="s">
        <v>34</v>
      </c>
      <c r="C109" s="7">
        <v>530</v>
      </c>
      <c r="D109" s="6" t="str">
        <f>IF(C109&lt;=0,"",VLOOKUP(C109,[1]FF!A:D,2,0))</f>
        <v>PARTICIPACIONES Ramo 28</v>
      </c>
      <c r="E109" s="7" t="s">
        <v>35</v>
      </c>
      <c r="F109" s="7" t="s">
        <v>22</v>
      </c>
      <c r="G109" s="7">
        <v>355001</v>
      </c>
      <c r="H109" s="9" t="str">
        <f>IF(G109&lt;=0,"",VLOOKUP(G109,[1]COG!A:H,2,0))</f>
        <v>Mantto. y conservación de vehículos terrestres, aéreos, marítimos, lacustres y fluviales</v>
      </c>
      <c r="I109" s="10">
        <v>10000</v>
      </c>
      <c r="J109" s="10">
        <v>11609</v>
      </c>
      <c r="K109" s="10">
        <v>10440</v>
      </c>
      <c r="L109" s="10">
        <v>4120</v>
      </c>
      <c r="M109" s="11">
        <f>SUM(Tabla13[[#This Row],[TRIMESTRE  I]:[TRIMESTRE IV]])</f>
        <v>36169</v>
      </c>
      <c r="N109" s="10" t="s">
        <v>19</v>
      </c>
      <c r="O109" s="22" t="s">
        <v>36</v>
      </c>
      <c r="P109" s="23" t="s">
        <v>44</v>
      </c>
    </row>
    <row r="110" spans="1:16" ht="27" x14ac:dyDescent="0.2">
      <c r="A110" s="20">
        <v>1500</v>
      </c>
      <c r="B110" s="21" t="s">
        <v>34</v>
      </c>
      <c r="C110" s="7">
        <v>530</v>
      </c>
      <c r="D110" s="6" t="str">
        <f>IF(C110&lt;=0,"",VLOOKUP(C110,[1]FF!A:D,2,0))</f>
        <v>PARTICIPACIONES Ramo 28</v>
      </c>
      <c r="E110" s="7" t="s">
        <v>38</v>
      </c>
      <c r="F110" s="7" t="s">
        <v>22</v>
      </c>
      <c r="G110" s="7">
        <v>355001</v>
      </c>
      <c r="H110" s="9" t="str">
        <f>IF(G110&lt;=0,"",VLOOKUP(G110,[1]COG!A:H,2,0))</f>
        <v>Mantto. y conservación de vehículos terrestres, aéreos, marítimos, lacustres y fluviales</v>
      </c>
      <c r="I110" s="10">
        <v>5000</v>
      </c>
      <c r="J110" s="10">
        <v>4000</v>
      </c>
      <c r="K110" s="10">
        <v>8200</v>
      </c>
      <c r="L110" s="10">
        <v>8400</v>
      </c>
      <c r="M110" s="11">
        <f>SUM(Tabla13[[#This Row],[TRIMESTRE  I]:[TRIMESTRE IV]])</f>
        <v>25600</v>
      </c>
      <c r="N110" s="10" t="s">
        <v>19</v>
      </c>
      <c r="O110" s="22" t="s">
        <v>36</v>
      </c>
      <c r="P110" s="23" t="s">
        <v>44</v>
      </c>
    </row>
    <row r="111" spans="1:16" ht="45" x14ac:dyDescent="0.2">
      <c r="A111" s="20">
        <v>1500</v>
      </c>
      <c r="B111" s="21" t="s">
        <v>34</v>
      </c>
      <c r="C111" s="7">
        <v>530</v>
      </c>
      <c r="D111" s="6" t="str">
        <f>IF(C111&lt;=0,"",VLOOKUP(C111,[1]FF!A:D,2,0))</f>
        <v>PARTICIPACIONES Ramo 28</v>
      </c>
      <c r="E111" s="7" t="s">
        <v>42</v>
      </c>
      <c r="F111" s="7" t="s">
        <v>22</v>
      </c>
      <c r="G111" s="7">
        <v>355001</v>
      </c>
      <c r="H111" s="9" t="str">
        <f>IF(G111&lt;=0,"",VLOOKUP(G111,[1]COG!A:H,2,0))</f>
        <v>Mantto. y conservación de vehículos terrestres, aéreos, marítimos, lacustres y fluviales</v>
      </c>
      <c r="I111" s="10">
        <v>120</v>
      </c>
      <c r="J111" s="10">
        <v>580</v>
      </c>
      <c r="K111" s="10">
        <v>380</v>
      </c>
      <c r="L111" s="10">
        <v>4660</v>
      </c>
      <c r="M111" s="11">
        <f>SUM(Tabla13[[#This Row],[TRIMESTRE  I]:[TRIMESTRE IV]])</f>
        <v>5740</v>
      </c>
      <c r="N111" s="10" t="s">
        <v>19</v>
      </c>
      <c r="O111" s="22" t="s">
        <v>36</v>
      </c>
      <c r="P111" s="23" t="s">
        <v>44</v>
      </c>
    </row>
    <row r="112" spans="1:16" ht="22.5" x14ac:dyDescent="0.2">
      <c r="A112" s="20">
        <v>1500</v>
      </c>
      <c r="B112" s="21" t="s">
        <v>34</v>
      </c>
      <c r="C112" s="7">
        <v>530</v>
      </c>
      <c r="D112" s="6" t="str">
        <f>IF(C112&lt;=0,"",VLOOKUP(C112,[1]FF!A:D,2,0))</f>
        <v>PARTICIPACIONES Ramo 28</v>
      </c>
      <c r="E112" s="7" t="s">
        <v>38</v>
      </c>
      <c r="F112" s="7" t="s">
        <v>22</v>
      </c>
      <c r="G112" s="7">
        <v>358001</v>
      </c>
      <c r="H112" s="9" t="str">
        <f>IF(G112&lt;=0,"",VLOOKUP(G112,[1]COG!A:H,2,0))</f>
        <v>Servicios de higiene y limpieza</v>
      </c>
      <c r="I112" s="10">
        <v>300</v>
      </c>
      <c r="J112" s="10">
        <v>300</v>
      </c>
      <c r="K112" s="10">
        <v>1100</v>
      </c>
      <c r="L112" s="10">
        <v>0</v>
      </c>
      <c r="M112" s="11">
        <f>SUM(Tabla13[[#This Row],[TRIMESTRE  I]:[TRIMESTRE IV]])</f>
        <v>1700</v>
      </c>
      <c r="N112" s="10" t="s">
        <v>19</v>
      </c>
      <c r="O112" s="22" t="s">
        <v>36</v>
      </c>
      <c r="P112" s="23" t="s">
        <v>44</v>
      </c>
    </row>
    <row r="113" spans="1:16" ht="22.5" x14ac:dyDescent="0.2">
      <c r="A113" s="20">
        <v>1500</v>
      </c>
      <c r="B113" s="21" t="s">
        <v>34</v>
      </c>
      <c r="C113" s="7">
        <v>530</v>
      </c>
      <c r="D113" s="6" t="str">
        <f>IF(C113&lt;=0,"",VLOOKUP(C113,[1]FF!A:D,2,0))</f>
        <v>PARTICIPACIONES Ramo 28</v>
      </c>
      <c r="E113" s="7" t="s">
        <v>35</v>
      </c>
      <c r="F113" s="7" t="s">
        <v>22</v>
      </c>
      <c r="G113" s="7">
        <v>358002</v>
      </c>
      <c r="H113" s="9" t="str">
        <f>IF(G113&lt;=0,"",VLOOKUP(G113,[1]COG!A:H,2,0))</f>
        <v>Servicios de Limpieza y Lavado de Vehículos</v>
      </c>
      <c r="I113" s="10">
        <v>8890</v>
      </c>
      <c r="J113" s="10">
        <v>13550</v>
      </c>
      <c r="K113" s="10">
        <v>8580</v>
      </c>
      <c r="L113" s="10">
        <v>7000</v>
      </c>
      <c r="M113" s="11">
        <f>SUM(Tabla13[[#This Row],[TRIMESTRE  I]:[TRIMESTRE IV]])</f>
        <v>38020</v>
      </c>
      <c r="N113" s="10" t="s">
        <v>19</v>
      </c>
      <c r="O113" s="22" t="s">
        <v>36</v>
      </c>
      <c r="P113" s="23" t="s">
        <v>44</v>
      </c>
    </row>
    <row r="114" spans="1:16" ht="22.5" x14ac:dyDescent="0.2">
      <c r="A114" s="20">
        <v>1500</v>
      </c>
      <c r="B114" s="21" t="s">
        <v>34</v>
      </c>
      <c r="C114" s="7">
        <v>530</v>
      </c>
      <c r="D114" s="6" t="str">
        <f>IF(C114&lt;=0,"",VLOOKUP(C114,[1]FF!A:D,2,0))</f>
        <v>PARTICIPACIONES Ramo 28</v>
      </c>
      <c r="E114" s="7" t="s">
        <v>38</v>
      </c>
      <c r="F114" s="7" t="s">
        <v>22</v>
      </c>
      <c r="G114" s="7">
        <v>359001</v>
      </c>
      <c r="H114" s="9" t="str">
        <f>IF(G114&lt;=0,"",VLOOKUP(G114,[1]COG!A:H,2,0))</f>
        <v>Árboles, plantas, semillas y abonos</v>
      </c>
      <c r="I114" s="10">
        <v>100</v>
      </c>
      <c r="J114" s="10">
        <v>0</v>
      </c>
      <c r="K114" s="10">
        <v>80</v>
      </c>
      <c r="L114" s="10">
        <v>0</v>
      </c>
      <c r="M114" s="11">
        <f>SUM(Tabla13[[#This Row],[TRIMESTRE  I]:[TRIMESTRE IV]])</f>
        <v>180</v>
      </c>
      <c r="N114" s="10" t="s">
        <v>19</v>
      </c>
      <c r="O114" s="22" t="s">
        <v>36</v>
      </c>
      <c r="P114" s="23" t="s">
        <v>44</v>
      </c>
    </row>
    <row r="115" spans="1:16" ht="22.5" x14ac:dyDescent="0.2">
      <c r="A115" s="20">
        <v>1500</v>
      </c>
      <c r="B115" s="21" t="s">
        <v>34</v>
      </c>
      <c r="C115" s="7">
        <v>530</v>
      </c>
      <c r="D115" s="6" t="str">
        <f>IF(C115&lt;=0,"",VLOOKUP(C115,[1]FF!A:D,2,0))</f>
        <v>PARTICIPACIONES Ramo 28</v>
      </c>
      <c r="E115" s="7" t="s">
        <v>35</v>
      </c>
      <c r="F115" s="7" t="s">
        <v>22</v>
      </c>
      <c r="G115" s="7">
        <v>361002</v>
      </c>
      <c r="H115" s="9" t="str">
        <f>IF(G115&lt;=0,"",VLOOKUP(G115,[1]COG!A:H,2,0))</f>
        <v>Impresiones y publicaciones oficiales</v>
      </c>
      <c r="I115" s="10">
        <v>200</v>
      </c>
      <c r="J115" s="10">
        <v>200</v>
      </c>
      <c r="K115" s="10">
        <v>555</v>
      </c>
      <c r="L115" s="10">
        <v>200</v>
      </c>
      <c r="M115" s="11">
        <f>SUM(Tabla13[[#This Row],[TRIMESTRE  I]:[TRIMESTRE IV]])</f>
        <v>1155</v>
      </c>
      <c r="N115" s="10" t="s">
        <v>19</v>
      </c>
      <c r="O115" s="22" t="s">
        <v>36</v>
      </c>
      <c r="P115" s="23" t="s">
        <v>44</v>
      </c>
    </row>
    <row r="116" spans="1:16" ht="22.5" x14ac:dyDescent="0.2">
      <c r="A116" s="20">
        <v>1500</v>
      </c>
      <c r="B116" s="21" t="s">
        <v>34</v>
      </c>
      <c r="C116" s="7">
        <v>530</v>
      </c>
      <c r="D116" s="6" t="str">
        <f>IF(C116&lt;=0,"",VLOOKUP(C116,[1]FF!A:D,2,0))</f>
        <v>PARTICIPACIONES Ramo 28</v>
      </c>
      <c r="E116" s="7" t="s">
        <v>38</v>
      </c>
      <c r="F116" s="7" t="s">
        <v>22</v>
      </c>
      <c r="G116" s="7">
        <v>361002</v>
      </c>
      <c r="H116" s="9" t="str">
        <f>IF(G116&lt;=0,"",VLOOKUP(G116,[1]COG!A:H,2,0))</f>
        <v>Impresiones y publicaciones oficiales</v>
      </c>
      <c r="I116" s="10">
        <v>1000</v>
      </c>
      <c r="J116" s="10">
        <v>850</v>
      </c>
      <c r="K116" s="10">
        <v>1550</v>
      </c>
      <c r="L116" s="10">
        <v>0</v>
      </c>
      <c r="M116" s="11">
        <f>SUM(Tabla13[[#This Row],[TRIMESTRE  I]:[TRIMESTRE IV]])</f>
        <v>3400</v>
      </c>
      <c r="N116" s="10" t="s">
        <v>19</v>
      </c>
      <c r="O116" s="22" t="s">
        <v>36</v>
      </c>
      <c r="P116" s="23" t="s">
        <v>44</v>
      </c>
    </row>
    <row r="117" spans="1:16" ht="22.5" x14ac:dyDescent="0.2">
      <c r="A117" s="20">
        <v>1500</v>
      </c>
      <c r="B117" s="21" t="s">
        <v>34</v>
      </c>
      <c r="C117" s="7">
        <v>530</v>
      </c>
      <c r="D117" s="6" t="str">
        <f>IF(C117&lt;=0,"",VLOOKUP(C117,[1]FF!A:D,2,0))</f>
        <v>PARTICIPACIONES Ramo 28</v>
      </c>
      <c r="E117" s="7" t="s">
        <v>41</v>
      </c>
      <c r="F117" s="7" t="s">
        <v>22</v>
      </c>
      <c r="G117" s="7">
        <v>361002</v>
      </c>
      <c r="H117" s="9" t="str">
        <f>IF(G117&lt;=0,"",VLOOKUP(G117,[1]COG!A:H,2,0))</f>
        <v>Impresiones y publicaciones oficiales</v>
      </c>
      <c r="I117" s="10">
        <v>0</v>
      </c>
      <c r="J117" s="10">
        <v>4250</v>
      </c>
      <c r="K117" s="10">
        <v>4250</v>
      </c>
      <c r="L117" s="10">
        <v>0</v>
      </c>
      <c r="M117" s="11">
        <f>SUM(Tabla13[[#This Row],[TRIMESTRE  I]:[TRIMESTRE IV]])</f>
        <v>8500</v>
      </c>
      <c r="N117" s="10" t="s">
        <v>19</v>
      </c>
      <c r="O117" s="22" t="s">
        <v>36</v>
      </c>
      <c r="P117" s="23" t="s">
        <v>44</v>
      </c>
    </row>
    <row r="118" spans="1:16" ht="45" x14ac:dyDescent="0.2">
      <c r="A118" s="20">
        <v>1500</v>
      </c>
      <c r="B118" s="21" t="s">
        <v>34</v>
      </c>
      <c r="C118" s="7">
        <v>530</v>
      </c>
      <c r="D118" s="6" t="str">
        <f>IF(C118&lt;=0,"",VLOOKUP(C118,[1]FF!A:D,2,0))</f>
        <v>PARTICIPACIONES Ramo 28</v>
      </c>
      <c r="E118" s="7" t="s">
        <v>42</v>
      </c>
      <c r="F118" s="7" t="s">
        <v>22</v>
      </c>
      <c r="G118" s="7">
        <v>361002</v>
      </c>
      <c r="H118" s="9" t="str">
        <f>IF(G118&lt;=0,"",VLOOKUP(G118,[1]COG!A:H,2,0))</f>
        <v>Impresiones y publicaciones oficiales</v>
      </c>
      <c r="I118" s="10">
        <v>340</v>
      </c>
      <c r="J118" s="10">
        <v>270</v>
      </c>
      <c r="K118" s="10">
        <v>370</v>
      </c>
      <c r="L118" s="10">
        <v>340</v>
      </c>
      <c r="M118" s="11">
        <f>SUM(Tabla13[[#This Row],[TRIMESTRE  I]:[TRIMESTRE IV]])</f>
        <v>1320</v>
      </c>
      <c r="N118" s="10" t="s">
        <v>19</v>
      </c>
      <c r="O118" s="22" t="s">
        <v>36</v>
      </c>
      <c r="P118" s="23" t="s">
        <v>44</v>
      </c>
    </row>
    <row r="119" spans="1:16" ht="22.5" x14ac:dyDescent="0.2">
      <c r="A119" s="20">
        <v>1500</v>
      </c>
      <c r="B119" s="21" t="s">
        <v>34</v>
      </c>
      <c r="C119" s="7">
        <v>530</v>
      </c>
      <c r="D119" s="6" t="str">
        <f>IF(C119&lt;=0,"",VLOOKUP(C119,[1]FF!A:D,2,0))</f>
        <v>PARTICIPACIONES Ramo 28</v>
      </c>
      <c r="E119" s="7" t="s">
        <v>35</v>
      </c>
      <c r="F119" s="7" t="s">
        <v>22</v>
      </c>
      <c r="G119" s="7">
        <v>364001</v>
      </c>
      <c r="H119" s="9" t="str">
        <f>IF(G119&lt;=0,"",VLOOKUP(G119,[1]COG!A:H,2,0))</f>
        <v>Revelado de Fotografías</v>
      </c>
      <c r="I119" s="10">
        <v>100</v>
      </c>
      <c r="J119" s="10">
        <v>100</v>
      </c>
      <c r="K119" s="10">
        <v>0</v>
      </c>
      <c r="L119" s="10">
        <v>235</v>
      </c>
      <c r="M119" s="11">
        <f>SUM(Tabla13[[#This Row],[TRIMESTRE  I]:[TRIMESTRE IV]])</f>
        <v>435</v>
      </c>
      <c r="N119" s="10" t="s">
        <v>19</v>
      </c>
      <c r="O119" s="22" t="s">
        <v>36</v>
      </c>
      <c r="P119" s="23" t="s">
        <v>44</v>
      </c>
    </row>
    <row r="120" spans="1:16" ht="45" x14ac:dyDescent="0.2">
      <c r="A120" s="20">
        <v>1500</v>
      </c>
      <c r="B120" s="21" t="s">
        <v>34</v>
      </c>
      <c r="C120" s="7">
        <v>530</v>
      </c>
      <c r="D120" s="6" t="str">
        <f>IF(C120&lt;=0,"",VLOOKUP(C120,[1]FF!A:D,2,0))</f>
        <v>PARTICIPACIONES Ramo 28</v>
      </c>
      <c r="E120" s="7" t="s">
        <v>42</v>
      </c>
      <c r="F120" s="7" t="s">
        <v>22</v>
      </c>
      <c r="G120" s="7">
        <v>364001</v>
      </c>
      <c r="H120" s="9" t="str">
        <f>IF(G120&lt;=0,"",VLOOKUP(G120,[1]COG!A:H,2,0))</f>
        <v>Revelado de Fotografías</v>
      </c>
      <c r="I120" s="10">
        <v>170</v>
      </c>
      <c r="J120" s="10">
        <v>170</v>
      </c>
      <c r="K120" s="10">
        <v>0</v>
      </c>
      <c r="L120" s="10">
        <v>0</v>
      </c>
      <c r="M120" s="11">
        <f>SUM(Tabla13[[#This Row],[TRIMESTRE  I]:[TRIMESTRE IV]])</f>
        <v>340</v>
      </c>
      <c r="N120" s="10" t="s">
        <v>19</v>
      </c>
      <c r="O120" s="22" t="s">
        <v>36</v>
      </c>
      <c r="P120" s="23" t="s">
        <v>44</v>
      </c>
    </row>
    <row r="121" spans="1:16" ht="22.5" x14ac:dyDescent="0.2">
      <c r="A121" s="20">
        <v>1500</v>
      </c>
      <c r="B121" s="21" t="s">
        <v>34</v>
      </c>
      <c r="C121" s="7">
        <v>530</v>
      </c>
      <c r="D121" s="6" t="str">
        <f>IF(C121&lt;=0,"",VLOOKUP(C121,[1]FF!A:D,2,0))</f>
        <v>PARTICIPACIONES Ramo 28</v>
      </c>
      <c r="E121" s="7" t="s">
        <v>35</v>
      </c>
      <c r="F121" s="7" t="s">
        <v>22</v>
      </c>
      <c r="G121" s="7">
        <v>371001</v>
      </c>
      <c r="H121" s="9" t="str">
        <f>IF(G121&lt;=0,"",VLOOKUP(G121,[1]COG!A:H,2,0))</f>
        <v>Pasajes aéreos</v>
      </c>
      <c r="I121" s="10">
        <v>2550</v>
      </c>
      <c r="J121" s="10">
        <v>0</v>
      </c>
      <c r="K121" s="10">
        <v>2520</v>
      </c>
      <c r="L121" s="10">
        <v>0</v>
      </c>
      <c r="M121" s="11">
        <f>SUM(Tabla13[[#This Row],[TRIMESTRE  I]:[TRIMESTRE IV]])</f>
        <v>5070</v>
      </c>
      <c r="N121" s="10" t="s">
        <v>19</v>
      </c>
      <c r="O121" s="22" t="s">
        <v>36</v>
      </c>
      <c r="P121" s="23" t="s">
        <v>44</v>
      </c>
    </row>
    <row r="122" spans="1:16" ht="22.5" x14ac:dyDescent="0.2">
      <c r="A122" s="20">
        <v>1500</v>
      </c>
      <c r="B122" s="21" t="s">
        <v>34</v>
      </c>
      <c r="C122" s="7">
        <v>530</v>
      </c>
      <c r="D122" s="6" t="str">
        <f>IF(C122&lt;=0,"",VLOOKUP(C122,[1]FF!A:D,2,0))</f>
        <v>PARTICIPACIONES Ramo 28</v>
      </c>
      <c r="E122" s="7" t="s">
        <v>38</v>
      </c>
      <c r="F122" s="7" t="s">
        <v>22</v>
      </c>
      <c r="G122" s="7">
        <v>371001</v>
      </c>
      <c r="H122" s="9" t="str">
        <f>IF(G122&lt;=0,"",VLOOKUP(G122,[1]COG!A:H,2,0))</f>
        <v>Pasajes aéreos</v>
      </c>
      <c r="I122" s="10">
        <v>1700</v>
      </c>
      <c r="J122" s="10">
        <v>0</v>
      </c>
      <c r="K122" s="10">
        <v>0</v>
      </c>
      <c r="L122" s="10">
        <v>0</v>
      </c>
      <c r="M122" s="11">
        <f>SUM(Tabla13[[#This Row],[TRIMESTRE  I]:[TRIMESTRE IV]])</f>
        <v>1700</v>
      </c>
      <c r="N122" s="10" t="s">
        <v>19</v>
      </c>
      <c r="O122" s="22" t="s">
        <v>36</v>
      </c>
      <c r="P122" s="23" t="s">
        <v>44</v>
      </c>
    </row>
    <row r="123" spans="1:16" ht="22.5" x14ac:dyDescent="0.2">
      <c r="A123" s="20">
        <v>1500</v>
      </c>
      <c r="B123" s="21" t="s">
        <v>34</v>
      </c>
      <c r="C123" s="7">
        <v>530</v>
      </c>
      <c r="D123" s="6" t="str">
        <f>IF(C123&lt;=0,"",VLOOKUP(C123,[1]FF!A:D,2,0))</f>
        <v>PARTICIPACIONES Ramo 28</v>
      </c>
      <c r="E123" s="7" t="s">
        <v>41</v>
      </c>
      <c r="F123" s="7" t="s">
        <v>22</v>
      </c>
      <c r="G123" s="7">
        <v>371001</v>
      </c>
      <c r="H123" s="9" t="str">
        <f>IF(G123&lt;=0,"",VLOOKUP(G123,[1]COG!A:H,2,0))</f>
        <v>Pasajes aéreos</v>
      </c>
      <c r="I123" s="10">
        <v>0</v>
      </c>
      <c r="J123" s="10">
        <v>500</v>
      </c>
      <c r="K123" s="10">
        <v>0</v>
      </c>
      <c r="L123" s="10">
        <v>0</v>
      </c>
      <c r="M123" s="11">
        <f>SUM(Tabla13[[#This Row],[TRIMESTRE  I]:[TRIMESTRE IV]])</f>
        <v>500</v>
      </c>
      <c r="N123" s="10" t="s">
        <v>19</v>
      </c>
      <c r="O123" s="22" t="s">
        <v>36</v>
      </c>
      <c r="P123" s="23" t="s">
        <v>44</v>
      </c>
    </row>
    <row r="124" spans="1:16" ht="45" x14ac:dyDescent="0.2">
      <c r="A124" s="20">
        <v>1500</v>
      </c>
      <c r="B124" s="21" t="s">
        <v>34</v>
      </c>
      <c r="C124" s="7">
        <v>530</v>
      </c>
      <c r="D124" s="6" t="str">
        <f>IF(C124&lt;=0,"",VLOOKUP(C124,[1]FF!A:D,2,0))</f>
        <v>PARTICIPACIONES Ramo 28</v>
      </c>
      <c r="E124" s="7" t="s">
        <v>42</v>
      </c>
      <c r="F124" s="7" t="s">
        <v>22</v>
      </c>
      <c r="G124" s="7">
        <v>371001</v>
      </c>
      <c r="H124" s="9" t="str">
        <f>IF(G124&lt;=0,"",VLOOKUP(G124,[1]COG!A:H,2,0))</f>
        <v>Pasajes aéreos</v>
      </c>
      <c r="I124" s="10">
        <v>1300</v>
      </c>
      <c r="J124" s="10">
        <v>0</v>
      </c>
      <c r="K124" s="10">
        <v>1140</v>
      </c>
      <c r="L124" s="10">
        <v>0</v>
      </c>
      <c r="M124" s="11">
        <f>SUM(Tabla13[[#This Row],[TRIMESTRE  I]:[TRIMESTRE IV]])</f>
        <v>2440</v>
      </c>
      <c r="N124" s="10" t="s">
        <v>19</v>
      </c>
      <c r="O124" s="22" t="s">
        <v>36</v>
      </c>
      <c r="P124" s="23" t="s">
        <v>44</v>
      </c>
    </row>
    <row r="125" spans="1:16" ht="12.75" x14ac:dyDescent="0.2">
      <c r="A125" s="20">
        <v>1500</v>
      </c>
      <c r="B125" s="21" t="s">
        <v>34</v>
      </c>
      <c r="C125" s="7">
        <v>530</v>
      </c>
      <c r="D125" s="6" t="str">
        <f>IF(C125&lt;=0,"",VLOOKUP(C125,[1]FF!A:D,2,0))</f>
        <v>PARTICIPACIONES Ramo 28</v>
      </c>
      <c r="E125" s="7" t="s">
        <v>39</v>
      </c>
      <c r="F125" s="7" t="s">
        <v>22</v>
      </c>
      <c r="G125" s="7">
        <v>372001</v>
      </c>
      <c r="H125" s="9" t="str">
        <f>IF(G125&lt;=0,"",VLOOKUP(G125,[1]COG!A:H,2,0))</f>
        <v>Pasajes terrestres</v>
      </c>
      <c r="I125" s="10">
        <v>425</v>
      </c>
      <c r="J125" s="10">
        <v>1275</v>
      </c>
      <c r="K125" s="10">
        <v>595</v>
      </c>
      <c r="L125" s="10">
        <v>850</v>
      </c>
      <c r="M125" s="11">
        <f>SUM(Tabla13[[#This Row],[TRIMESTRE  I]:[TRIMESTRE IV]])</f>
        <v>3145</v>
      </c>
      <c r="N125" s="10" t="s">
        <v>19</v>
      </c>
      <c r="O125" s="22" t="s">
        <v>36</v>
      </c>
      <c r="P125" s="23" t="s">
        <v>44</v>
      </c>
    </row>
    <row r="126" spans="1:16" ht="22.5" x14ac:dyDescent="0.2">
      <c r="A126" s="20">
        <v>1500</v>
      </c>
      <c r="B126" s="21" t="s">
        <v>34</v>
      </c>
      <c r="C126" s="7">
        <v>530</v>
      </c>
      <c r="D126" s="6" t="str">
        <f>IF(C126&lt;=0,"",VLOOKUP(C126,[1]FF!A:D,2,0))</f>
        <v>PARTICIPACIONES Ramo 28</v>
      </c>
      <c r="E126" s="7" t="s">
        <v>35</v>
      </c>
      <c r="F126" s="7" t="s">
        <v>22</v>
      </c>
      <c r="G126" s="7">
        <v>375001</v>
      </c>
      <c r="H126" s="9" t="str">
        <f>IF(G126&lt;=0,"",VLOOKUP(G126,[1]COG!A:H,2,0))</f>
        <v>Viáticos</v>
      </c>
      <c r="I126" s="10">
        <v>5000</v>
      </c>
      <c r="J126" s="10">
        <v>8510</v>
      </c>
      <c r="K126" s="10">
        <v>6010</v>
      </c>
      <c r="L126" s="10">
        <v>8000</v>
      </c>
      <c r="M126" s="11">
        <f>SUM(Tabla13[[#This Row],[TRIMESTRE  I]:[TRIMESTRE IV]])</f>
        <v>27520</v>
      </c>
      <c r="N126" s="10" t="s">
        <v>19</v>
      </c>
      <c r="O126" s="22" t="s">
        <v>36</v>
      </c>
      <c r="P126" s="23" t="s">
        <v>44</v>
      </c>
    </row>
    <row r="127" spans="1:16" ht="22.5" x14ac:dyDescent="0.2">
      <c r="A127" s="20">
        <v>1500</v>
      </c>
      <c r="B127" s="21" t="s">
        <v>34</v>
      </c>
      <c r="C127" s="7">
        <v>530</v>
      </c>
      <c r="D127" s="6" t="str">
        <f>IF(C127&lt;=0,"",VLOOKUP(C127,[1]FF!A:D,2,0))</f>
        <v>PARTICIPACIONES Ramo 28</v>
      </c>
      <c r="E127" s="7" t="s">
        <v>38</v>
      </c>
      <c r="F127" s="7" t="s">
        <v>22</v>
      </c>
      <c r="G127" s="7">
        <v>375001</v>
      </c>
      <c r="H127" s="9" t="str">
        <f>IF(G127&lt;=0,"",VLOOKUP(G127,[1]COG!A:H,2,0))</f>
        <v>Viáticos</v>
      </c>
      <c r="I127" s="10">
        <v>2550</v>
      </c>
      <c r="J127" s="10">
        <v>8700</v>
      </c>
      <c r="K127" s="10">
        <v>6275</v>
      </c>
      <c r="L127" s="10">
        <v>1275</v>
      </c>
      <c r="M127" s="11">
        <f>SUM(Tabla13[[#This Row],[TRIMESTRE  I]:[TRIMESTRE IV]])</f>
        <v>18800</v>
      </c>
      <c r="N127" s="10" t="s">
        <v>19</v>
      </c>
      <c r="O127" s="22" t="s">
        <v>36</v>
      </c>
      <c r="P127" s="23" t="s">
        <v>44</v>
      </c>
    </row>
    <row r="128" spans="1:16" ht="12.75" x14ac:dyDescent="0.2">
      <c r="A128" s="20">
        <v>1500</v>
      </c>
      <c r="B128" s="21" t="s">
        <v>34</v>
      </c>
      <c r="C128" s="7">
        <v>530</v>
      </c>
      <c r="D128" s="6" t="str">
        <f>IF(C128&lt;=0,"",VLOOKUP(C128,[1]FF!A:D,2,0))</f>
        <v>PARTICIPACIONES Ramo 28</v>
      </c>
      <c r="E128" s="7" t="s">
        <v>39</v>
      </c>
      <c r="F128" s="7" t="s">
        <v>22</v>
      </c>
      <c r="G128" s="7">
        <v>375001</v>
      </c>
      <c r="H128" s="9" t="str">
        <f>IF(G128&lt;=0,"",VLOOKUP(G128,[1]COG!A:H,2,0))</f>
        <v>Viáticos</v>
      </c>
      <c r="I128" s="10">
        <v>1500</v>
      </c>
      <c r="J128" s="10">
        <v>2000</v>
      </c>
      <c r="K128" s="10">
        <v>7000</v>
      </c>
      <c r="L128" s="10">
        <v>0</v>
      </c>
      <c r="M128" s="11">
        <f>SUM(Tabla13[[#This Row],[TRIMESTRE  I]:[TRIMESTRE IV]])</f>
        <v>10500</v>
      </c>
      <c r="N128" s="10" t="s">
        <v>19</v>
      </c>
      <c r="O128" s="22" t="s">
        <v>36</v>
      </c>
      <c r="P128" s="23" t="s">
        <v>44</v>
      </c>
    </row>
    <row r="129" spans="1:16" ht="22.5" x14ac:dyDescent="0.2">
      <c r="A129" s="20">
        <v>1500</v>
      </c>
      <c r="B129" s="21" t="s">
        <v>34</v>
      </c>
      <c r="C129" s="7">
        <v>530</v>
      </c>
      <c r="D129" s="6" t="str">
        <f>IF(C129&lt;=0,"",VLOOKUP(C129,[1]FF!A:D,2,0))</f>
        <v>PARTICIPACIONES Ramo 28</v>
      </c>
      <c r="E129" s="7" t="s">
        <v>41</v>
      </c>
      <c r="F129" s="7" t="s">
        <v>22</v>
      </c>
      <c r="G129" s="7">
        <v>375001</v>
      </c>
      <c r="H129" s="9" t="str">
        <f>IF(G129&lt;=0,"",VLOOKUP(G129,[1]COG!A:H,2,0))</f>
        <v>Viáticos</v>
      </c>
      <c r="I129" s="10">
        <v>1000</v>
      </c>
      <c r="J129" s="10">
        <v>2700</v>
      </c>
      <c r="K129" s="10">
        <v>1700</v>
      </c>
      <c r="L129" s="10">
        <v>1700</v>
      </c>
      <c r="M129" s="11">
        <f>SUM(Tabla13[[#This Row],[TRIMESTRE  I]:[TRIMESTRE IV]])</f>
        <v>7100</v>
      </c>
      <c r="N129" s="10" t="s">
        <v>19</v>
      </c>
      <c r="O129" s="22" t="s">
        <v>36</v>
      </c>
      <c r="P129" s="23" t="s">
        <v>44</v>
      </c>
    </row>
    <row r="130" spans="1:16" ht="45" x14ac:dyDescent="0.2">
      <c r="A130" s="20">
        <v>1500</v>
      </c>
      <c r="B130" s="21" t="s">
        <v>34</v>
      </c>
      <c r="C130" s="7">
        <v>530</v>
      </c>
      <c r="D130" s="6" t="str">
        <f>IF(C130&lt;=0,"",VLOOKUP(C130,[1]FF!A:D,2,0))</f>
        <v>PARTICIPACIONES Ramo 28</v>
      </c>
      <c r="E130" s="7" t="s">
        <v>42</v>
      </c>
      <c r="F130" s="7" t="s">
        <v>22</v>
      </c>
      <c r="G130" s="7">
        <v>375001</v>
      </c>
      <c r="H130" s="9" t="str">
        <f>IF(G130&lt;=0,"",VLOOKUP(G130,[1]COG!A:H,2,0))</f>
        <v>Viáticos</v>
      </c>
      <c r="I130" s="10">
        <v>4500</v>
      </c>
      <c r="J130" s="10">
        <v>3340</v>
      </c>
      <c r="K130" s="10">
        <v>1080</v>
      </c>
      <c r="L130" s="10">
        <v>0</v>
      </c>
      <c r="M130" s="11">
        <f>SUM(Tabla13[[#This Row],[TRIMESTRE  I]:[TRIMESTRE IV]])</f>
        <v>8920</v>
      </c>
      <c r="N130" s="10" t="s">
        <v>19</v>
      </c>
      <c r="O130" s="22" t="s">
        <v>36</v>
      </c>
      <c r="P130" s="23" t="s">
        <v>44</v>
      </c>
    </row>
    <row r="131" spans="1:16" ht="22.5" x14ac:dyDescent="0.2">
      <c r="A131" s="20">
        <v>1500</v>
      </c>
      <c r="B131" s="21" t="s">
        <v>34</v>
      </c>
      <c r="C131" s="7">
        <v>530</v>
      </c>
      <c r="D131" s="6" t="str">
        <f>IF(C131&lt;=0,"",VLOOKUP(C131,[1]FF!A:D,2,0))</f>
        <v>PARTICIPACIONES Ramo 28</v>
      </c>
      <c r="E131" s="7" t="s">
        <v>43</v>
      </c>
      <c r="F131" s="7" t="s">
        <v>22</v>
      </c>
      <c r="G131" s="7">
        <v>375001</v>
      </c>
      <c r="H131" s="9" t="str">
        <f>IF(G131&lt;=0,"",VLOOKUP(G131,[1]COG!A:H,2,0))</f>
        <v>Viáticos</v>
      </c>
      <c r="I131" s="10">
        <v>5400</v>
      </c>
      <c r="J131" s="10">
        <v>8000</v>
      </c>
      <c r="K131" s="10">
        <v>7000</v>
      </c>
      <c r="L131" s="10">
        <v>8000</v>
      </c>
      <c r="M131" s="11">
        <f>SUM(Tabla13[[#This Row],[TRIMESTRE  I]:[TRIMESTRE IV]])</f>
        <v>28400</v>
      </c>
      <c r="N131" s="10" t="s">
        <v>19</v>
      </c>
      <c r="O131" s="22" t="s">
        <v>36</v>
      </c>
      <c r="P131" s="23" t="s">
        <v>44</v>
      </c>
    </row>
    <row r="132" spans="1:16" ht="22.5" x14ac:dyDescent="0.2">
      <c r="A132" s="20">
        <v>1500</v>
      </c>
      <c r="B132" s="21" t="s">
        <v>34</v>
      </c>
      <c r="C132" s="7">
        <v>530</v>
      </c>
      <c r="D132" s="6" t="str">
        <f>IF(C132&lt;=0,"",VLOOKUP(C132,[1]FF!A:D,2,0))</f>
        <v>PARTICIPACIONES Ramo 28</v>
      </c>
      <c r="E132" s="7" t="s">
        <v>35</v>
      </c>
      <c r="F132" s="7" t="s">
        <v>22</v>
      </c>
      <c r="G132" s="7">
        <v>382002</v>
      </c>
      <c r="H132" s="9" t="str">
        <f>IF(G132&lt;=0,"",VLOOKUP(G132,[1]COG!A:H,2,0))</f>
        <v>Gastos de recepción, conmemorativos y de orden social</v>
      </c>
      <c r="I132" s="10">
        <v>0</v>
      </c>
      <c r="J132" s="10">
        <v>1200</v>
      </c>
      <c r="K132" s="10">
        <v>0</v>
      </c>
      <c r="L132" s="10">
        <v>0</v>
      </c>
      <c r="M132" s="11">
        <f>SUM(Tabla13[[#This Row],[TRIMESTRE  I]:[TRIMESTRE IV]])</f>
        <v>1200</v>
      </c>
      <c r="N132" s="10" t="s">
        <v>19</v>
      </c>
      <c r="O132" s="22" t="s">
        <v>36</v>
      </c>
      <c r="P132" s="23" t="s">
        <v>44</v>
      </c>
    </row>
    <row r="133" spans="1:16" ht="22.5" x14ac:dyDescent="0.2">
      <c r="A133" s="20">
        <v>1500</v>
      </c>
      <c r="B133" s="21" t="s">
        <v>34</v>
      </c>
      <c r="C133" s="7">
        <v>530</v>
      </c>
      <c r="D133" s="6" t="str">
        <f>IF(C133&lt;=0,"",VLOOKUP(C133,[1]FF!A:D,2,0))</f>
        <v>PARTICIPACIONES Ramo 28</v>
      </c>
      <c r="E133" s="7" t="s">
        <v>38</v>
      </c>
      <c r="F133" s="7" t="s">
        <v>22</v>
      </c>
      <c r="G133" s="7">
        <v>382002</v>
      </c>
      <c r="H133" s="9" t="str">
        <f>IF(G133&lt;=0,"",VLOOKUP(G133,[1]COG!A:H,2,0))</f>
        <v>Gastos de recepción, conmemorativos y de orden social</v>
      </c>
      <c r="I133" s="10">
        <v>0</v>
      </c>
      <c r="J133" s="10">
        <v>1000</v>
      </c>
      <c r="K133" s="10">
        <v>0</v>
      </c>
      <c r="L133" s="10">
        <v>0</v>
      </c>
      <c r="M133" s="11">
        <f>SUM(Tabla13[[#This Row],[TRIMESTRE  I]:[TRIMESTRE IV]])</f>
        <v>1000</v>
      </c>
      <c r="N133" s="10" t="s">
        <v>19</v>
      </c>
      <c r="O133" s="22" t="s">
        <v>36</v>
      </c>
      <c r="P133" s="23" t="s">
        <v>44</v>
      </c>
    </row>
    <row r="134" spans="1:16" ht="18" x14ac:dyDescent="0.2">
      <c r="A134" s="20">
        <v>1500</v>
      </c>
      <c r="B134" s="21" t="s">
        <v>34</v>
      </c>
      <c r="C134" s="7">
        <v>530</v>
      </c>
      <c r="D134" s="6" t="str">
        <f>IF(C134&lt;=0,"",VLOOKUP(C134,[1]FF!A:D,2,0))</f>
        <v>PARTICIPACIONES Ramo 28</v>
      </c>
      <c r="E134" s="7" t="s">
        <v>39</v>
      </c>
      <c r="F134" s="7" t="s">
        <v>22</v>
      </c>
      <c r="G134" s="7">
        <v>382002</v>
      </c>
      <c r="H134" s="9" t="str">
        <f>IF(G134&lt;=0,"",VLOOKUP(G134,[1]COG!A:H,2,0))</f>
        <v>Gastos de recepción, conmemorativos y de orden social</v>
      </c>
      <c r="I134" s="10">
        <v>500</v>
      </c>
      <c r="J134" s="10">
        <v>1000</v>
      </c>
      <c r="K134" s="10">
        <v>0</v>
      </c>
      <c r="L134" s="10">
        <v>0</v>
      </c>
      <c r="M134" s="11">
        <f>SUM(Tabla13[[#This Row],[TRIMESTRE  I]:[TRIMESTRE IV]])</f>
        <v>1500</v>
      </c>
      <c r="N134" s="10" t="s">
        <v>19</v>
      </c>
      <c r="O134" s="22" t="s">
        <v>36</v>
      </c>
      <c r="P134" s="23" t="s">
        <v>44</v>
      </c>
    </row>
    <row r="135" spans="1:16" ht="22.5" x14ac:dyDescent="0.2">
      <c r="A135" s="20">
        <v>1500</v>
      </c>
      <c r="B135" s="21" t="s">
        <v>34</v>
      </c>
      <c r="C135" s="7">
        <v>530</v>
      </c>
      <c r="D135" s="6" t="str">
        <f>IF(C135&lt;=0,"",VLOOKUP(C135,[1]FF!A:D,2,0))</f>
        <v>PARTICIPACIONES Ramo 28</v>
      </c>
      <c r="E135" s="7" t="s">
        <v>41</v>
      </c>
      <c r="F135" s="7" t="s">
        <v>22</v>
      </c>
      <c r="G135" s="7">
        <v>382002</v>
      </c>
      <c r="H135" s="9" t="str">
        <f>IF(G135&lt;=0,"",VLOOKUP(G135,[1]COG!A:H,2,0))</f>
        <v>Gastos de recepción, conmemorativos y de orden social</v>
      </c>
      <c r="I135" s="10">
        <v>500</v>
      </c>
      <c r="J135" s="10">
        <v>0</v>
      </c>
      <c r="K135" s="10">
        <v>1500</v>
      </c>
      <c r="L135" s="10">
        <v>1414</v>
      </c>
      <c r="M135" s="11">
        <f>SUM(Tabla13[[#This Row],[TRIMESTRE  I]:[TRIMESTRE IV]])</f>
        <v>3414</v>
      </c>
      <c r="N135" s="10" t="s">
        <v>19</v>
      </c>
      <c r="O135" s="22" t="s">
        <v>36</v>
      </c>
      <c r="P135" s="23" t="s">
        <v>44</v>
      </c>
    </row>
    <row r="136" spans="1:16" ht="45" x14ac:dyDescent="0.2">
      <c r="A136" s="20">
        <v>1500</v>
      </c>
      <c r="B136" s="21" t="s">
        <v>34</v>
      </c>
      <c r="C136" s="7">
        <v>530</v>
      </c>
      <c r="D136" s="24" t="str">
        <f>IF(C136&lt;=0,"",VLOOKUP(C136,[1]FF!A:D,2,0))</f>
        <v>PARTICIPACIONES Ramo 28</v>
      </c>
      <c r="E136" s="7" t="s">
        <v>42</v>
      </c>
      <c r="F136" s="7" t="s">
        <v>22</v>
      </c>
      <c r="G136" s="28">
        <v>382002</v>
      </c>
      <c r="H136" s="25" t="str">
        <f>IF(G136&lt;=0,"",VLOOKUP(G136,[1]COG!A:H,2,0))</f>
        <v>Gastos de recepción, conmemorativos y de orden social</v>
      </c>
      <c r="I136" s="26">
        <v>0</v>
      </c>
      <c r="J136" s="26">
        <v>200</v>
      </c>
      <c r="K136" s="26">
        <v>0</v>
      </c>
      <c r="L136" s="26">
        <v>0</v>
      </c>
      <c r="M136" s="11">
        <f>SUM(Tabla13[[#This Row],[TRIMESTRE  I]:[TRIMESTRE IV]])</f>
        <v>200</v>
      </c>
      <c r="N136" s="10" t="s">
        <v>19</v>
      </c>
      <c r="O136" s="22" t="s">
        <v>36</v>
      </c>
      <c r="P136" s="23" t="s">
        <v>44</v>
      </c>
    </row>
    <row r="137" spans="1:16" ht="22.5" x14ac:dyDescent="0.2">
      <c r="A137" s="20">
        <v>1500</v>
      </c>
      <c r="B137" s="21" t="s">
        <v>34</v>
      </c>
      <c r="C137" s="7">
        <v>530</v>
      </c>
      <c r="D137" s="6" t="str">
        <f>IF(C137&lt;=0,"",VLOOKUP(C137,[1]FF!A:D,2,0))</f>
        <v>PARTICIPACIONES Ramo 28</v>
      </c>
      <c r="E137" s="7" t="s">
        <v>35</v>
      </c>
      <c r="F137" s="7" t="s">
        <v>22</v>
      </c>
      <c r="G137" s="7">
        <v>383001</v>
      </c>
      <c r="H137" s="9" t="str">
        <f>IF(G137&lt;=0,"",VLOOKUP(G137,[1]COG!A:H,2,0))</f>
        <v>Congresos y convenciones</v>
      </c>
      <c r="I137" s="10">
        <v>510</v>
      </c>
      <c r="J137" s="10">
        <v>510</v>
      </c>
      <c r="K137" s="10">
        <v>0</v>
      </c>
      <c r="L137" s="10">
        <v>0</v>
      </c>
      <c r="M137" s="11">
        <f>SUM(Tabla13[[#This Row],[TRIMESTRE  I]:[TRIMESTRE IV]])</f>
        <v>1020</v>
      </c>
      <c r="N137" s="10" t="s">
        <v>19</v>
      </c>
      <c r="O137" s="22" t="s">
        <v>36</v>
      </c>
      <c r="P137" s="23" t="s">
        <v>44</v>
      </c>
    </row>
    <row r="138" spans="1:16" ht="12.75" x14ac:dyDescent="0.2">
      <c r="A138" s="20">
        <v>1500</v>
      </c>
      <c r="B138" s="21" t="s">
        <v>34</v>
      </c>
      <c r="C138" s="7">
        <v>530</v>
      </c>
      <c r="D138" s="6" t="str">
        <f>IF(C138&lt;=0,"",VLOOKUP(C138,[1]FF!A:D,2,0))</f>
        <v>PARTICIPACIONES Ramo 28</v>
      </c>
      <c r="E138" s="7" t="s">
        <v>39</v>
      </c>
      <c r="F138" s="7" t="s">
        <v>22</v>
      </c>
      <c r="G138" s="7">
        <v>383001</v>
      </c>
      <c r="H138" s="9" t="str">
        <f>IF(G138&lt;=0,"",VLOOKUP(G138,[1]COG!A:H,2,0))</f>
        <v>Congresos y convenciones</v>
      </c>
      <c r="I138" s="10">
        <v>350</v>
      </c>
      <c r="J138" s="10">
        <v>700</v>
      </c>
      <c r="K138" s="10">
        <v>0</v>
      </c>
      <c r="L138" s="10">
        <v>0</v>
      </c>
      <c r="M138" s="11">
        <f>SUM(Tabla13[[#This Row],[TRIMESTRE  I]:[TRIMESTRE IV]])</f>
        <v>1050</v>
      </c>
      <c r="N138" s="10" t="s">
        <v>19</v>
      </c>
      <c r="O138" s="22" t="s">
        <v>36</v>
      </c>
      <c r="P138" s="23" t="s">
        <v>44</v>
      </c>
    </row>
    <row r="139" spans="1:16" ht="22.5" x14ac:dyDescent="0.2">
      <c r="A139" s="20">
        <v>1500</v>
      </c>
      <c r="B139" s="21" t="s">
        <v>34</v>
      </c>
      <c r="C139" s="7">
        <v>530</v>
      </c>
      <c r="D139" s="6" t="str">
        <f>IF(C139&lt;=0,"",VLOOKUP(C139,[1]FF!A:D,2,0))</f>
        <v>PARTICIPACIONES Ramo 28</v>
      </c>
      <c r="E139" s="7" t="s">
        <v>41</v>
      </c>
      <c r="F139" s="7" t="s">
        <v>22</v>
      </c>
      <c r="G139" s="7">
        <v>383001</v>
      </c>
      <c r="H139" s="9" t="str">
        <f>IF(G139&lt;=0,"",VLOOKUP(G139,[1]COG!A:H,2,0))</f>
        <v>Congresos y convenciones</v>
      </c>
      <c r="I139" s="10">
        <v>0</v>
      </c>
      <c r="J139" s="10">
        <v>0</v>
      </c>
      <c r="K139" s="10">
        <v>250</v>
      </c>
      <c r="L139" s="10">
        <v>0</v>
      </c>
      <c r="M139" s="11">
        <f>SUM(Tabla13[[#This Row],[TRIMESTRE  I]:[TRIMESTRE IV]])</f>
        <v>250</v>
      </c>
      <c r="N139" s="10" t="s">
        <v>19</v>
      </c>
      <c r="O139" s="22" t="s">
        <v>36</v>
      </c>
      <c r="P139" s="23" t="s">
        <v>44</v>
      </c>
    </row>
    <row r="140" spans="1:16" ht="45" x14ac:dyDescent="0.2">
      <c r="A140" s="20">
        <v>1500</v>
      </c>
      <c r="B140" s="21" t="s">
        <v>34</v>
      </c>
      <c r="C140" s="7">
        <v>530</v>
      </c>
      <c r="D140" s="24" t="str">
        <f>IF(C140&lt;=0,"",VLOOKUP(C140,[1]FF!A:D,2,0))</f>
        <v>PARTICIPACIONES Ramo 28</v>
      </c>
      <c r="E140" s="7" t="s">
        <v>42</v>
      </c>
      <c r="F140" s="7" t="s">
        <v>22</v>
      </c>
      <c r="G140" s="7">
        <v>383001</v>
      </c>
      <c r="H140" s="25" t="str">
        <f>IF(G140&lt;=0,"",VLOOKUP(G140,[1]COG!A:H,2,0))</f>
        <v>Congresos y convenciones</v>
      </c>
      <c r="I140" s="26">
        <v>340</v>
      </c>
      <c r="J140" s="26">
        <v>100</v>
      </c>
      <c r="K140" s="26">
        <v>0</v>
      </c>
      <c r="L140" s="26">
        <v>0</v>
      </c>
      <c r="M140" s="27">
        <f>SUM(Tabla13[[#This Row],[TRIMESTRE  I]:[TRIMESTRE IV]])</f>
        <v>440</v>
      </c>
      <c r="N140" s="10" t="s">
        <v>19</v>
      </c>
      <c r="O140" s="22" t="s">
        <v>36</v>
      </c>
      <c r="P140" s="23" t="s">
        <v>44</v>
      </c>
    </row>
    <row r="141" spans="1:16" ht="22.5" x14ac:dyDescent="0.2">
      <c r="A141" s="20">
        <v>1500</v>
      </c>
      <c r="B141" s="21" t="s">
        <v>34</v>
      </c>
      <c r="C141" s="7">
        <v>530</v>
      </c>
      <c r="D141" s="6" t="str">
        <f>IF(C141&lt;=0,"",VLOOKUP(C141,[1]FF!A:D,2,0))</f>
        <v>PARTICIPACIONES Ramo 28</v>
      </c>
      <c r="E141" s="7" t="s">
        <v>38</v>
      </c>
      <c r="F141" s="7" t="s">
        <v>22</v>
      </c>
      <c r="G141" s="7">
        <v>392001</v>
      </c>
      <c r="H141" s="9" t="str">
        <f>IF(G141&lt;=0,"",VLOOKUP(G141,[1]COG!A:H,2,0))</f>
        <v>Impuestos y derechos</v>
      </c>
      <c r="I141" s="10">
        <v>4000</v>
      </c>
      <c r="J141" s="10">
        <v>0</v>
      </c>
      <c r="K141" s="10">
        <v>0</v>
      </c>
      <c r="L141" s="10">
        <v>0</v>
      </c>
      <c r="M141" s="11">
        <f>SUM(Tabla13[[#This Row],[TRIMESTRE  I]:[TRIMESTRE IV]])</f>
        <v>4000</v>
      </c>
      <c r="N141" s="10" t="s">
        <v>19</v>
      </c>
      <c r="O141" s="22" t="s">
        <v>36</v>
      </c>
      <c r="P141" s="23" t="s">
        <v>44</v>
      </c>
    </row>
    <row r="142" spans="1:16" ht="22.5" x14ac:dyDescent="0.2">
      <c r="A142" s="20">
        <v>1500</v>
      </c>
      <c r="B142" s="21" t="s">
        <v>34</v>
      </c>
      <c r="C142" s="7">
        <v>530</v>
      </c>
      <c r="D142" s="6" t="str">
        <f>IF(C142&lt;=0,"",VLOOKUP(C142,[1]FF!A:D,2,0))</f>
        <v>PARTICIPACIONES Ramo 28</v>
      </c>
      <c r="E142" s="7" t="s">
        <v>38</v>
      </c>
      <c r="F142" s="7" t="s">
        <v>22</v>
      </c>
      <c r="G142" s="7">
        <v>399001</v>
      </c>
      <c r="H142" s="9" t="str">
        <f>IF(G142&lt;=0,"",VLOOKUP(G142,[1]COG!A:H,2,0))</f>
        <v>Gastos menores</v>
      </c>
      <c r="I142" s="10">
        <v>1100</v>
      </c>
      <c r="J142" s="10">
        <v>340</v>
      </c>
      <c r="K142" s="10">
        <v>345</v>
      </c>
      <c r="L142" s="10">
        <v>340</v>
      </c>
      <c r="M142" s="11">
        <f>SUM(Tabla13[[#This Row],[TRIMESTRE  I]:[TRIMESTRE IV]])</f>
        <v>2125</v>
      </c>
      <c r="N142" s="10" t="s">
        <v>19</v>
      </c>
      <c r="O142" s="22" t="s">
        <v>36</v>
      </c>
      <c r="P142" s="23" t="s">
        <v>44</v>
      </c>
    </row>
    <row r="143" spans="1:16" s="108" customFormat="1" ht="37.5" customHeight="1" thickBot="1" x14ac:dyDescent="0.25">
      <c r="A143" s="97"/>
      <c r="B143" s="98"/>
      <c r="C143" s="99"/>
      <c r="D143" s="100"/>
      <c r="E143" s="99"/>
      <c r="F143" s="99"/>
      <c r="G143" s="101"/>
      <c r="H143" s="102" t="s">
        <v>32</v>
      </c>
      <c r="I143" s="103"/>
      <c r="J143" s="103"/>
      <c r="K143" s="104"/>
      <c r="L143" s="103"/>
      <c r="M143" s="105">
        <f>SUBTOTAL(109,Tabla13[[PRESUPUESTO ANUAL AUTORIZADO ]])</f>
        <v>2312817</v>
      </c>
      <c r="N143" s="103"/>
      <c r="O143" s="103"/>
      <c r="P143" s="101"/>
    </row>
    <row r="144" spans="1:16" ht="37.5" customHeight="1" thickTop="1" x14ac:dyDescent="0.2"/>
    <row r="146" spans="13:13" ht="37.5" customHeight="1" x14ac:dyDescent="0.2">
      <c r="M146" s="29"/>
    </row>
  </sheetData>
  <protectedRanges>
    <protectedRange algorithmName="SHA-512" hashValue="CVDb5J/0TlFD03lqit9XaA7LbCMGvWLCsduA3v8dImZEGhWfzgZ6Dg6bkjbAbJm1bYAcMLcpovU/dJmuMze5jw==" saltValue="QZ4X9aU2cO4/tAPW6011Dw==" spinCount="100000" sqref="N143:P143" name="EDITABLE 4"/>
    <protectedRange algorithmName="SHA-512" hashValue="ytsoXFfC1+WmXVaa1/e6XfcZ7vPjNmSnuZe33NqN4NcqbRxNJdzSGuklMRpskJNPYNNz1yZQe585JE4aSLisOg==" saltValue="/jSLFmNX0mB2vn2qhSJbtw==" spinCount="100000" sqref="I5:L143" name="EDITABLE 3"/>
    <protectedRange algorithmName="SHA-512" hashValue="pJNw8ysPJcfMEDlzTgza0siiHuU4FkUpIzbuTX325DFaYD5nL5ng0z0JoIGpE+CYch2hq/LccMqSM51MpHojPQ==" saltValue="xv9nj4u85CXs/Kmy5tmlKw==" spinCount="100000" sqref="E5:G143" name="EDITABLE 2"/>
    <protectedRange algorithmName="SHA-512" hashValue="Lst7hsT/mUUQvFsOUalIdMZhSjExDj/C7u4r1gIjHREwBj16N7lqODQ0CY6n+RXalo774Zm4aYZKVBS0n4XIeg==" saltValue="KfnRR/cqfK967zBK52Zr6A==" spinCount="100000" sqref="A5:C143" name="EDITABLE 1"/>
    <protectedRange algorithmName="SHA-512" hashValue="CVDb5J/0TlFD03lqit9XaA7LbCMGvWLCsduA3v8dImZEGhWfzgZ6Dg6bkjbAbJm1bYAcMLcpovU/dJmuMze5jw==" saltValue="QZ4X9aU2cO4/tAPW6011Dw==" spinCount="100000" sqref="N5:O15 N16:N18" name="EDITABLE 4_1"/>
    <protectedRange algorithmName="SHA-512" hashValue="CVDb5J/0TlFD03lqit9XaA7LbCMGvWLCsduA3v8dImZEGhWfzgZ6Dg6bkjbAbJm1bYAcMLcpovU/dJmuMze5jw==" saltValue="QZ4X9aU2cO4/tAPW6011Dw==" spinCount="100000" sqref="O16:O21" name="EDITABLE 4_2"/>
    <protectedRange algorithmName="SHA-512" hashValue="CVDb5J/0TlFD03lqit9XaA7LbCMGvWLCsduA3v8dImZEGhWfzgZ6Dg6bkjbAbJm1bYAcMLcpovU/dJmuMze5jw==" saltValue="QZ4X9aU2cO4/tAPW6011Dw==" spinCount="100000" sqref="O22:O27 N19:N23" name="EDITABLE 4_3"/>
    <protectedRange algorithmName="SHA-512" hashValue="CVDb5J/0TlFD03lqit9XaA7LbCMGvWLCsduA3v8dImZEGhWfzgZ6Dg6bkjbAbJm1bYAcMLcpovU/dJmuMze5jw==" saltValue="QZ4X9aU2cO4/tAPW6011Dw==" spinCount="100000" sqref="P5:P142" name="EDITABLE 4_1_3"/>
    <protectedRange algorithmName="SHA-512" hashValue="CVDb5J/0TlFD03lqit9XaA7LbCMGvWLCsduA3v8dImZEGhWfzgZ6Dg6bkjbAbJm1bYAcMLcpovU/dJmuMze5jw==" saltValue="QZ4X9aU2cO4/tAPW6011Dw==" spinCount="100000" sqref="N24:N26" name="EDITABLE 4_4"/>
    <protectedRange algorithmName="SHA-512" hashValue="CVDb5J/0TlFD03lqit9XaA7LbCMGvWLCsduA3v8dImZEGhWfzgZ6Dg6bkjbAbJm1bYAcMLcpovU/dJmuMze5jw==" saltValue="QZ4X9aU2cO4/tAPW6011Dw==" spinCount="100000" sqref="N27:N29" name="EDITABLE 4_5"/>
    <protectedRange algorithmName="SHA-512" hashValue="CVDb5J/0TlFD03lqit9XaA7LbCMGvWLCsduA3v8dImZEGhWfzgZ6Dg6bkjbAbJm1bYAcMLcpovU/dJmuMze5jw==" saltValue="QZ4X9aU2cO4/tAPW6011Dw==" spinCount="100000" sqref="O28:O29 N30:O36" name="EDITABLE 4_6"/>
    <protectedRange algorithmName="SHA-512" hashValue="CVDb5J/0TlFD03lqit9XaA7LbCMGvWLCsduA3v8dImZEGhWfzgZ6Dg6bkjbAbJm1bYAcMLcpovU/dJmuMze5jw==" saltValue="QZ4X9aU2cO4/tAPW6011Dw==" spinCount="100000" sqref="N37:O38" name="EDITABLE 4_7"/>
    <protectedRange algorithmName="SHA-512" hashValue="CVDb5J/0TlFD03lqit9XaA7LbCMGvWLCsduA3v8dImZEGhWfzgZ6Dg6bkjbAbJm1bYAcMLcpovU/dJmuMze5jw==" saltValue="QZ4X9aU2cO4/tAPW6011Dw==" spinCount="100000" sqref="N39:O41" name="EDITABLE 4_8"/>
    <protectedRange algorithmName="SHA-512" hashValue="CVDb5J/0TlFD03lqit9XaA7LbCMGvWLCsduA3v8dImZEGhWfzgZ6Dg6bkjbAbJm1bYAcMLcpovU/dJmuMze5jw==" saltValue="QZ4X9aU2cO4/tAPW6011Dw==" spinCount="100000" sqref="N42:O43" name="EDITABLE 4_9"/>
    <protectedRange algorithmName="SHA-512" hashValue="CVDb5J/0TlFD03lqit9XaA7LbCMGvWLCsduA3v8dImZEGhWfzgZ6Dg6bkjbAbJm1bYAcMLcpovU/dJmuMze5jw==" saltValue="QZ4X9aU2cO4/tAPW6011Dw==" spinCount="100000" sqref="N44:O44 O45:O142" name="EDITABLE 4_10"/>
  </protectedRanges>
  <mergeCells count="3">
    <mergeCell ref="A1:P1"/>
    <mergeCell ref="A2:P2"/>
    <mergeCell ref="A3:P3"/>
  </mergeCells>
  <dataValidations count="2">
    <dataValidation type="list" allowBlank="1" showInputMessage="1" showErrorMessage="1" sqref="F5:F142" xr:uid="{A540B055-5821-4BC9-98B2-880F60B22CDB}">
      <formula1>CAPITULOS</formula1>
    </dataValidation>
    <dataValidation type="list" allowBlank="1" showInputMessage="1" showErrorMessage="1" sqref="G5:G142" xr:uid="{8897BAD6-7072-4229-BE56-7E891F20FD69}">
      <formula1>INDIRECT(F5)</formula1>
    </dataValidation>
  </dataValidations>
  <printOptions horizontalCentered="1"/>
  <pageMargins left="0" right="0" top="0.15748031496062992" bottom="0.15748031496062992" header="0.11811023622047245" footer="0.11811023622047245"/>
  <pageSetup paperSize="5" scale="60" orientation="landscape" r:id="rId1"/>
  <headerFooter>
    <oddFooter>&amp;C&amp;P de &amp;N</oddFooter>
  </headerFooter>
  <rowBreaks count="4" manualBreakCount="4">
    <brk id="29" max="15" man="1"/>
    <brk id="59" max="15" man="1"/>
    <brk id="88" max="15" man="1"/>
    <brk id="120" max="15" man="1"/>
  </rowBreaks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CD91C7-C176-41FD-A53B-CC88FE38F1C1}">
  <sheetPr>
    <tabColor rgb="FF00B050"/>
  </sheetPr>
  <dimension ref="A1:P173"/>
  <sheetViews>
    <sheetView zoomScale="120" zoomScaleNormal="120" workbookViewId="0">
      <pane ySplit="4" topLeftCell="A32" activePane="bottomLeft" state="frozen"/>
      <selection activeCell="L24" sqref="L24"/>
      <selection pane="bottomLeft" activeCell="M35" sqref="M35"/>
    </sheetView>
  </sheetViews>
  <sheetFormatPr baseColWidth="10" defaultColWidth="11.42578125" defaultRowHeight="37.5" customHeight="1" x14ac:dyDescent="0.2"/>
  <cols>
    <col min="1" max="1" width="10.28515625" style="1" customWidth="1"/>
    <col min="2" max="2" width="17.5703125" style="1" customWidth="1"/>
    <col min="3" max="3" width="18" style="1" customWidth="1"/>
    <col min="4" max="4" width="17.42578125" style="1" customWidth="1"/>
    <col min="5" max="5" width="14.7109375" style="1" customWidth="1"/>
    <col min="6" max="6" width="11.140625" style="1" customWidth="1"/>
    <col min="7" max="7" width="13" style="1" customWidth="1"/>
    <col min="8" max="8" width="32.140625" style="1" customWidth="1"/>
    <col min="9" max="9" width="12.28515625" style="1" customWidth="1"/>
    <col min="10" max="12" width="13" style="1" customWidth="1"/>
    <col min="13" max="13" width="19" style="1" customWidth="1"/>
    <col min="14" max="15" width="21.7109375" style="1" customWidth="1"/>
    <col min="16" max="16" width="18.5703125" style="1" customWidth="1"/>
    <col min="17" max="16384" width="11.42578125" style="1"/>
  </cols>
  <sheetData>
    <row r="1" spans="1:16" ht="22.5" customHeight="1" x14ac:dyDescent="0.2">
      <c r="A1" s="115" t="s">
        <v>24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</row>
    <row r="2" spans="1:16" ht="18.75" customHeight="1" x14ac:dyDescent="0.2">
      <c r="A2" s="116" t="s">
        <v>58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</row>
    <row r="3" spans="1:16" ht="32.25" customHeight="1" x14ac:dyDescent="0.2">
      <c r="A3" s="117" t="s">
        <v>25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</row>
    <row r="4" spans="1:16" s="2" customFormat="1" ht="48" customHeight="1" x14ac:dyDescent="0.2">
      <c r="A4" s="72" t="s">
        <v>0</v>
      </c>
      <c r="B4" s="72" t="s">
        <v>1</v>
      </c>
      <c r="C4" s="72" t="s">
        <v>2</v>
      </c>
      <c r="D4" s="72" t="s">
        <v>3</v>
      </c>
      <c r="E4" s="72" t="s">
        <v>4</v>
      </c>
      <c r="F4" s="72" t="s">
        <v>5</v>
      </c>
      <c r="G4" s="72" t="s">
        <v>6</v>
      </c>
      <c r="H4" s="72" t="s">
        <v>7</v>
      </c>
      <c r="I4" s="72" t="s">
        <v>26</v>
      </c>
      <c r="J4" s="72" t="s">
        <v>8</v>
      </c>
      <c r="K4" s="72" t="s">
        <v>9</v>
      </c>
      <c r="L4" s="72" t="s">
        <v>10</v>
      </c>
      <c r="M4" s="72" t="s">
        <v>27</v>
      </c>
      <c r="N4" s="72" t="s">
        <v>11</v>
      </c>
      <c r="O4" s="72" t="s">
        <v>12</v>
      </c>
      <c r="P4" s="72" t="s">
        <v>13</v>
      </c>
    </row>
    <row r="5" spans="1:16" ht="37.5" customHeight="1" x14ac:dyDescent="0.2">
      <c r="A5" s="3">
        <v>901</v>
      </c>
      <c r="B5" s="4" t="s">
        <v>59</v>
      </c>
      <c r="C5" s="5">
        <v>530</v>
      </c>
      <c r="D5" s="6" t="e">
        <f>IF(C5&lt;=0,"",VLOOKUP(C5,#REF!,2,0))</f>
        <v>#REF!</v>
      </c>
      <c r="E5" s="5" t="s">
        <v>60</v>
      </c>
      <c r="F5" s="7" t="s">
        <v>15</v>
      </c>
      <c r="G5" s="8">
        <v>211001</v>
      </c>
      <c r="H5" s="9" t="s">
        <v>16</v>
      </c>
      <c r="I5" s="10">
        <f>(43286*3)+11217+5609+16337+8169+897+12667+6169+4254+2127+14555+7233+11662+5743+13075+6524+1719</f>
        <v>257815</v>
      </c>
      <c r="J5" s="10">
        <f>(43286*3)+(5609*3)+(8169*3)+(2127*3)+(7233*3)+(5743*3)+(6524*3)</f>
        <v>236073</v>
      </c>
      <c r="K5" s="10">
        <f>(43286*3)+(5609*3)+(8169*3)+(2127*3)+(7233*3)+(5743*3)+(6524*3)</f>
        <v>236073</v>
      </c>
      <c r="L5" s="10">
        <f>(43286*3)+(5609*2)+5596+(8169*2)+8112+(2127*3)+(7233*3)+(5743*3)+(6524*3)</f>
        <v>236003</v>
      </c>
      <c r="M5" s="41">
        <f>SUM(Tabla15[[#This Row],[TRIMESTRE  I]:[TRIMESTRE IV]])</f>
        <v>965964</v>
      </c>
      <c r="N5" s="12" t="s">
        <v>17</v>
      </c>
      <c r="O5" s="42">
        <v>45658</v>
      </c>
      <c r="P5" s="43" t="s">
        <v>61</v>
      </c>
    </row>
    <row r="6" spans="1:16" ht="37.5" customHeight="1" x14ac:dyDescent="0.2">
      <c r="A6" s="3">
        <v>901</v>
      </c>
      <c r="B6" s="4" t="s">
        <v>62</v>
      </c>
      <c r="C6" s="5">
        <v>530</v>
      </c>
      <c r="D6" s="6" t="e">
        <f>IF(C6&lt;=0,"",VLOOKUP(C6,#REF!,2,0))</f>
        <v>#REF!</v>
      </c>
      <c r="E6" s="5" t="s">
        <v>60</v>
      </c>
      <c r="F6" s="7" t="s">
        <v>15</v>
      </c>
      <c r="G6" s="8">
        <v>212001</v>
      </c>
      <c r="H6" s="9" t="s">
        <v>50</v>
      </c>
      <c r="I6" s="10">
        <f>6437+3216+2369+2736+1368+4186+2093+707+354+1703+851+2270+1135+1416+708+707+354+289</f>
        <v>32899</v>
      </c>
      <c r="J6" s="10">
        <f>3216+3216+3216+(6169*3)+(354*3)+(851*3)+(1135*3)+(708*3)+(354*3)</f>
        <v>38361</v>
      </c>
      <c r="K6" s="10">
        <f>3216+3216+3216+(6169*3)+(354*3)+(851*3)+(1135*3)+(708*3)+(354*3)</f>
        <v>38361</v>
      </c>
      <c r="L6" s="10">
        <f>(3216*3)+(6169*3)+(354*3)+(851*3)+(1135*3)+(708*3)+(354*3)</f>
        <v>38361</v>
      </c>
      <c r="M6" s="41">
        <f>SUM(Tabla15[[#This Row],[TRIMESTRE  I]:[TRIMESTRE IV]])</f>
        <v>147982</v>
      </c>
      <c r="N6" s="12" t="s">
        <v>19</v>
      </c>
      <c r="O6" s="42">
        <v>45658</v>
      </c>
      <c r="P6" s="44" t="s">
        <v>63</v>
      </c>
    </row>
    <row r="7" spans="1:16" ht="37.5" customHeight="1" x14ac:dyDescent="0.2">
      <c r="A7" s="3">
        <v>901</v>
      </c>
      <c r="B7" s="4" t="s">
        <v>62</v>
      </c>
      <c r="C7" s="5">
        <v>530</v>
      </c>
      <c r="D7" s="6" t="e">
        <f>IF(C7&lt;=0,"",VLOOKUP(C7,#REF!,2,0))</f>
        <v>#REF!</v>
      </c>
      <c r="E7" s="5" t="s">
        <v>60</v>
      </c>
      <c r="F7" s="7" t="s">
        <v>15</v>
      </c>
      <c r="G7" s="8">
        <v>215001</v>
      </c>
      <c r="H7" s="9" t="s">
        <v>152</v>
      </c>
      <c r="I7" s="10">
        <f>0+1391+0</f>
        <v>1391</v>
      </c>
      <c r="J7" s="10">
        <f>1368*3</f>
        <v>4104</v>
      </c>
      <c r="K7" s="10">
        <f>1368*3</f>
        <v>4104</v>
      </c>
      <c r="L7" s="10">
        <f>+(1368*2)+1327</f>
        <v>4063</v>
      </c>
      <c r="M7" s="41">
        <f>SUM(Tabla15[[#This Row],[TRIMESTRE  I]:[TRIMESTRE IV]])</f>
        <v>13662</v>
      </c>
      <c r="N7" s="12" t="s">
        <v>19</v>
      </c>
      <c r="O7" s="42">
        <v>45658</v>
      </c>
      <c r="P7" s="44" t="s">
        <v>63</v>
      </c>
    </row>
    <row r="8" spans="1:16" ht="37.5" customHeight="1" x14ac:dyDescent="0.2">
      <c r="A8" s="3">
        <v>901</v>
      </c>
      <c r="B8" s="4" t="s">
        <v>59</v>
      </c>
      <c r="C8" s="5">
        <v>530</v>
      </c>
      <c r="D8" s="6" t="e">
        <f>IF(C8&lt;=0,"",VLOOKUP(C8,#REF!,2,0))</f>
        <v>#REF!</v>
      </c>
      <c r="E8" s="5" t="s">
        <v>60</v>
      </c>
      <c r="F8" s="7" t="s">
        <v>15</v>
      </c>
      <c r="G8" s="8">
        <v>216001</v>
      </c>
      <c r="H8" s="9" t="s">
        <v>18</v>
      </c>
      <c r="I8" s="10">
        <f>(85634*3)+791</f>
        <v>257693</v>
      </c>
      <c r="J8" s="10">
        <f>85634*3</f>
        <v>256902</v>
      </c>
      <c r="K8" s="10">
        <f>85634*3</f>
        <v>256902</v>
      </c>
      <c r="L8" s="10">
        <f>85634+85634+85637</f>
        <v>256905</v>
      </c>
      <c r="M8" s="41">
        <f>SUM(Tabla15[[#This Row],[TRIMESTRE  I]:[TRIMESTRE IV]])</f>
        <v>1028402</v>
      </c>
      <c r="N8" s="12" t="s">
        <v>17</v>
      </c>
      <c r="O8" s="42">
        <v>45658</v>
      </c>
      <c r="P8" s="43" t="s">
        <v>61</v>
      </c>
    </row>
    <row r="9" spans="1:16" ht="37.5" customHeight="1" x14ac:dyDescent="0.2">
      <c r="A9" s="3">
        <v>901</v>
      </c>
      <c r="B9" s="4" t="s">
        <v>59</v>
      </c>
      <c r="C9" s="5">
        <v>530</v>
      </c>
      <c r="D9" s="6" t="e">
        <f>IF(C9&lt;=0,"",VLOOKUP(C9,#REF!,2,0))</f>
        <v>#REF!</v>
      </c>
      <c r="E9" s="5" t="s">
        <v>60</v>
      </c>
      <c r="F9" s="7" t="s">
        <v>15</v>
      </c>
      <c r="G9" s="8">
        <v>221001</v>
      </c>
      <c r="H9" s="9" t="s">
        <v>93</v>
      </c>
      <c r="I9" s="10">
        <f>3364+51676+1505</f>
        <v>56545</v>
      </c>
      <c r="J9" s="10">
        <f>51676*3</f>
        <v>155028</v>
      </c>
      <c r="K9" s="10">
        <f>51676*3</f>
        <v>155028</v>
      </c>
      <c r="L9" s="10">
        <f>51676*3</f>
        <v>155028</v>
      </c>
      <c r="M9" s="41">
        <f>SUM(Tabla15[[#This Row],[TRIMESTRE  I]:[TRIMESTRE IV]])</f>
        <v>521629</v>
      </c>
      <c r="N9" s="12" t="s">
        <v>20</v>
      </c>
      <c r="O9" s="42">
        <v>45658</v>
      </c>
      <c r="P9" s="44" t="s">
        <v>64</v>
      </c>
    </row>
    <row r="10" spans="1:16" ht="37.5" customHeight="1" x14ac:dyDescent="0.2">
      <c r="A10" s="3">
        <v>901</v>
      </c>
      <c r="B10" s="4" t="s">
        <v>59</v>
      </c>
      <c r="C10" s="5">
        <v>530</v>
      </c>
      <c r="D10" s="6" t="e">
        <f>IF(C10&lt;=0,"",VLOOKUP(C10,#REF!,2,0))</f>
        <v>#REF!</v>
      </c>
      <c r="E10" s="5" t="s">
        <v>60</v>
      </c>
      <c r="F10" s="7" t="s">
        <v>15</v>
      </c>
      <c r="G10" s="8">
        <v>246001</v>
      </c>
      <c r="H10" s="9" t="s">
        <v>95</v>
      </c>
      <c r="I10" s="10">
        <f>2712+1353+171+806+281+85+298+111+111</f>
        <v>5928</v>
      </c>
      <c r="J10" s="10">
        <f>1353*3</f>
        <v>4059</v>
      </c>
      <c r="K10" s="10">
        <f>1353*3</f>
        <v>4059</v>
      </c>
      <c r="L10" s="10">
        <f>1353*3</f>
        <v>4059</v>
      </c>
      <c r="M10" s="41">
        <f>SUM(Tabla15[[#This Row],[TRIMESTRE  I]:[TRIMESTRE IV]])</f>
        <v>18105</v>
      </c>
      <c r="N10" s="12" t="s">
        <v>19</v>
      </c>
      <c r="O10" s="42">
        <v>45658</v>
      </c>
      <c r="P10" s="44" t="s">
        <v>63</v>
      </c>
    </row>
    <row r="11" spans="1:16" ht="37.5" customHeight="1" x14ac:dyDescent="0.2">
      <c r="A11" s="3">
        <v>901</v>
      </c>
      <c r="B11" s="4" t="s">
        <v>59</v>
      </c>
      <c r="C11" s="5">
        <v>530</v>
      </c>
      <c r="D11" s="6" t="e">
        <f>IF(C11&lt;=0,"",VLOOKUP(C11,#REF!,2,0))</f>
        <v>#REF!</v>
      </c>
      <c r="E11" s="5" t="s">
        <v>60</v>
      </c>
      <c r="F11" s="7" t="s">
        <v>15</v>
      </c>
      <c r="G11" s="8">
        <v>249001</v>
      </c>
      <c r="H11" s="9" t="s">
        <v>97</v>
      </c>
      <c r="I11" s="10">
        <f>1142+170+111</f>
        <v>1423</v>
      </c>
      <c r="J11" s="10">
        <v>0</v>
      </c>
      <c r="K11" s="10">
        <v>0</v>
      </c>
      <c r="L11" s="10">
        <v>0</v>
      </c>
      <c r="M11" s="41">
        <f>SUM(Tabla15[[#This Row],[TRIMESTRE  I]:[TRIMESTRE IV]])</f>
        <v>1423</v>
      </c>
      <c r="N11" s="12" t="s">
        <v>19</v>
      </c>
      <c r="O11" s="42">
        <v>45658</v>
      </c>
      <c r="P11" s="44" t="s">
        <v>63</v>
      </c>
    </row>
    <row r="12" spans="1:16" ht="37.5" customHeight="1" x14ac:dyDescent="0.2">
      <c r="A12" s="3">
        <v>901</v>
      </c>
      <c r="B12" s="4" t="s">
        <v>59</v>
      </c>
      <c r="C12" s="5">
        <v>530</v>
      </c>
      <c r="D12" s="6" t="e">
        <f>IF(C12&lt;=0,"",VLOOKUP(C12,#REF!,2,0))</f>
        <v>#REF!</v>
      </c>
      <c r="E12" s="5" t="s">
        <v>60</v>
      </c>
      <c r="F12" s="7" t="s">
        <v>15</v>
      </c>
      <c r="G12" s="8">
        <v>253001</v>
      </c>
      <c r="H12" s="9" t="s">
        <v>381</v>
      </c>
      <c r="I12" s="10">
        <f>111+(32112*2)+680</f>
        <v>65015</v>
      </c>
      <c r="J12" s="10">
        <f>(32112*3)</f>
        <v>96336</v>
      </c>
      <c r="K12" s="10">
        <f>(32112*2)+32111</f>
        <v>96335</v>
      </c>
      <c r="L12" s="10">
        <f>32111*3</f>
        <v>96333</v>
      </c>
      <c r="M12" s="41">
        <f>SUM(Tabla15[[#This Row],[TRIMESTRE  I]:[TRIMESTRE IV]])</f>
        <v>354019</v>
      </c>
      <c r="N12" s="12" t="s">
        <v>20</v>
      </c>
      <c r="O12" s="42">
        <v>45658</v>
      </c>
      <c r="P12" s="8" t="s">
        <v>65</v>
      </c>
    </row>
    <row r="13" spans="1:16" ht="37.5" customHeight="1" x14ac:dyDescent="0.2">
      <c r="A13" s="3">
        <v>901</v>
      </c>
      <c r="B13" s="4" t="s">
        <v>59</v>
      </c>
      <c r="C13" s="5">
        <v>530</v>
      </c>
      <c r="D13" s="6" t="e">
        <f>IF(C13&lt;=0,"",VLOOKUP(C13,#REF!,2,0))</f>
        <v>#REF!</v>
      </c>
      <c r="E13" s="5" t="s">
        <v>60</v>
      </c>
      <c r="F13" s="7" t="s">
        <v>15</v>
      </c>
      <c r="G13" s="8">
        <v>261001</v>
      </c>
      <c r="H13" s="9" t="s">
        <v>46</v>
      </c>
      <c r="I13" s="10">
        <f>(1017667*3)+452+(880601*3)+(3754*3)+675+(12764*3)+901+3776+1524+1524</f>
        <v>5753210</v>
      </c>
      <c r="J13" s="10">
        <f>(1017667*3)+(880601*3)+(3754*3)+(12764*3)+(1524*3)</f>
        <v>5748930</v>
      </c>
      <c r="K13" s="10">
        <f>(1017667*3)+(880601*3)+(3754*3)+(12764*3)+(1524*3)</f>
        <v>5748930</v>
      </c>
      <c r="L13" s="10">
        <f>(1017667*3)+(880601*2)+880660+(3754*3)+(12764*3)+(1524*3)</f>
        <v>5748989</v>
      </c>
      <c r="M13" s="41">
        <f>SUM(Tabla15[[#This Row],[TRIMESTRE  I]:[TRIMESTRE IV]])</f>
        <v>23000059</v>
      </c>
      <c r="N13" s="12" t="s">
        <v>17</v>
      </c>
      <c r="O13" s="42">
        <v>45658</v>
      </c>
      <c r="P13" s="43" t="s">
        <v>61</v>
      </c>
    </row>
    <row r="14" spans="1:16" ht="37.5" customHeight="1" x14ac:dyDescent="0.2">
      <c r="A14" s="3">
        <v>901</v>
      </c>
      <c r="B14" s="4" t="s">
        <v>59</v>
      </c>
      <c r="C14" s="5">
        <v>530</v>
      </c>
      <c r="D14" s="6" t="e">
        <f>IF(C14&lt;=0,"",VLOOKUP(C14,#REF!,2,0))</f>
        <v>#REF!</v>
      </c>
      <c r="E14" s="5" t="s">
        <v>60</v>
      </c>
      <c r="F14" s="7" t="s">
        <v>15</v>
      </c>
      <c r="G14" s="8">
        <v>261002</v>
      </c>
      <c r="H14" s="9" t="s">
        <v>111</v>
      </c>
      <c r="I14" s="10">
        <f>(72727*2)+3238+76</f>
        <v>148768</v>
      </c>
      <c r="J14" s="10">
        <f>(72727*3)+(3237*2)</f>
        <v>224655</v>
      </c>
      <c r="K14" s="10">
        <f>(72727*3)+3238</f>
        <v>221419</v>
      </c>
      <c r="L14" s="10">
        <f>72727*2+72730</f>
        <v>218184</v>
      </c>
      <c r="M14" s="41">
        <f>SUM(Tabla15[[#This Row],[TRIMESTRE  I]:[TRIMESTRE IV]])</f>
        <v>813026</v>
      </c>
      <c r="N14" s="12" t="s">
        <v>20</v>
      </c>
      <c r="O14" s="42">
        <v>45658</v>
      </c>
      <c r="P14" s="44" t="s">
        <v>64</v>
      </c>
    </row>
    <row r="15" spans="1:16" ht="37.5" customHeight="1" x14ac:dyDescent="0.2">
      <c r="A15" s="3">
        <v>901</v>
      </c>
      <c r="B15" s="4" t="s">
        <v>59</v>
      </c>
      <c r="C15" s="5">
        <v>530</v>
      </c>
      <c r="D15" s="6" t="e">
        <f>IF(C15&lt;=0,"",VLOOKUP(C15,#REF!,2,0))</f>
        <v>#REF!</v>
      </c>
      <c r="E15" s="5" t="s">
        <v>60</v>
      </c>
      <c r="F15" s="7" t="s">
        <v>15</v>
      </c>
      <c r="G15" s="8">
        <v>271001</v>
      </c>
      <c r="H15" s="9" t="s">
        <v>372</v>
      </c>
      <c r="I15" s="10">
        <v>500414</v>
      </c>
      <c r="J15" s="10"/>
      <c r="K15" s="10"/>
      <c r="L15" s="10"/>
      <c r="M15" s="41">
        <f>SUM(Tabla15[[#This Row],[TRIMESTRE  I]:[TRIMESTRE IV]])</f>
        <v>500414</v>
      </c>
      <c r="N15" s="12" t="s">
        <v>17</v>
      </c>
      <c r="O15" s="42">
        <v>45658</v>
      </c>
      <c r="P15" s="43" t="s">
        <v>61</v>
      </c>
    </row>
    <row r="16" spans="1:16" ht="37.5" customHeight="1" x14ac:dyDescent="0.2">
      <c r="A16" s="3">
        <v>901</v>
      </c>
      <c r="B16" s="4" t="s">
        <v>59</v>
      </c>
      <c r="C16" s="5">
        <v>530</v>
      </c>
      <c r="D16" s="6" t="e">
        <f>IF(C16&lt;=0,"",VLOOKUP(C16,#REF!,2,0))</f>
        <v>#REF!</v>
      </c>
      <c r="E16" s="5" t="s">
        <v>60</v>
      </c>
      <c r="F16" s="7" t="s">
        <v>15</v>
      </c>
      <c r="G16" s="8">
        <v>296001</v>
      </c>
      <c r="H16" s="9" t="s">
        <v>51</v>
      </c>
      <c r="I16" s="10">
        <f>(84047*3)+1272+(176638*2)+3849+1924+2467+1416+708+1215</f>
        <v>618268</v>
      </c>
      <c r="J16" s="10">
        <f>(84047*3)+(176638*3)+1924+(708*3)</f>
        <v>786103</v>
      </c>
      <c r="K16" s="10">
        <f>(84047*3)+(176637*2)+176638+(708*3)</f>
        <v>784177</v>
      </c>
      <c r="L16" s="10">
        <f>(84047*2)+84042+(176637*3)+(708*3)</f>
        <v>784171</v>
      </c>
      <c r="M16" s="41">
        <f>SUM(Tabla15[[#This Row],[TRIMESTRE  I]:[TRIMESTRE IV]])</f>
        <v>2972719</v>
      </c>
      <c r="N16" s="12" t="s">
        <v>20</v>
      </c>
      <c r="O16" s="42">
        <v>45658</v>
      </c>
      <c r="P16" s="44" t="s">
        <v>64</v>
      </c>
    </row>
    <row r="17" spans="1:16" ht="37.5" customHeight="1" x14ac:dyDescent="0.2">
      <c r="A17" s="3">
        <v>901</v>
      </c>
      <c r="B17" s="4" t="s">
        <v>59</v>
      </c>
      <c r="C17" s="5">
        <v>530</v>
      </c>
      <c r="D17" s="6" t="e">
        <f>IF(C17&lt;=0,"",VLOOKUP(C17,#REF!,2,0))</f>
        <v>#REF!</v>
      </c>
      <c r="E17" s="5" t="s">
        <v>60</v>
      </c>
      <c r="F17" s="7" t="s">
        <v>22</v>
      </c>
      <c r="G17" s="8">
        <v>318001</v>
      </c>
      <c r="H17" s="9" t="s">
        <v>373</v>
      </c>
      <c r="I17" s="10">
        <f>1660+923+89+320+96</f>
        <v>3088</v>
      </c>
      <c r="J17" s="10"/>
      <c r="K17" s="10"/>
      <c r="L17" s="10"/>
      <c r="M17" s="10">
        <f>SUM(Tabla15[[#This Row],[TRIMESTRE  I]:[TRIMESTRE IV]])</f>
        <v>3088</v>
      </c>
      <c r="N17" s="12" t="s">
        <v>19</v>
      </c>
      <c r="O17" s="42">
        <v>45658</v>
      </c>
      <c r="P17" s="44" t="s">
        <v>63</v>
      </c>
    </row>
    <row r="18" spans="1:16" ht="37.5" customHeight="1" x14ac:dyDescent="0.2">
      <c r="A18" s="3">
        <v>901</v>
      </c>
      <c r="B18" s="4" t="s">
        <v>59</v>
      </c>
      <c r="C18" s="5">
        <v>530</v>
      </c>
      <c r="D18" s="6" t="e">
        <f>IF(C18&lt;=0,"",VLOOKUP(C18,#REF!,2,0))</f>
        <v>#REF!</v>
      </c>
      <c r="E18" s="5" t="s">
        <v>60</v>
      </c>
      <c r="F18" s="7" t="s">
        <v>22</v>
      </c>
      <c r="G18" s="8">
        <v>322001</v>
      </c>
      <c r="H18" s="9" t="s">
        <v>23</v>
      </c>
      <c r="I18" s="10">
        <f>+(128306*3)+(112821*3)</f>
        <v>723381</v>
      </c>
      <c r="J18" s="10">
        <f>+(128306*3)+(112821*3)+(98078*3)</f>
        <v>1017615</v>
      </c>
      <c r="K18" s="10">
        <f>+(128306*3)+(112821*3)+(98078*3)</f>
        <v>1017615</v>
      </c>
      <c r="L18" s="10">
        <f>+(128306*2)+128310+(112821*3)+(98078*3)</f>
        <v>1017619</v>
      </c>
      <c r="M18" s="10">
        <f>SUM(Tabla15[[#This Row],[TRIMESTRE  I]:[TRIMESTRE IV]])</f>
        <v>3776230</v>
      </c>
      <c r="N18" s="12" t="s">
        <v>19</v>
      </c>
      <c r="O18" s="42">
        <v>45658</v>
      </c>
      <c r="P18" s="44" t="s">
        <v>66</v>
      </c>
    </row>
    <row r="19" spans="1:16" ht="37.5" customHeight="1" x14ac:dyDescent="0.2">
      <c r="A19" s="3">
        <v>901</v>
      </c>
      <c r="B19" s="4" t="s">
        <v>59</v>
      </c>
      <c r="C19" s="5">
        <v>530</v>
      </c>
      <c r="D19" s="6" t="e">
        <f>IF(C19&lt;=0,"",VLOOKUP(C19,#REF!,2,0))</f>
        <v>#REF!</v>
      </c>
      <c r="E19" s="5" t="s">
        <v>60</v>
      </c>
      <c r="F19" s="7" t="s">
        <v>22</v>
      </c>
      <c r="G19" s="8">
        <v>323001</v>
      </c>
      <c r="H19" s="9" t="s">
        <v>374</v>
      </c>
      <c r="I19" s="10">
        <f>365712+182856+(98078*3)</f>
        <v>842802</v>
      </c>
      <c r="J19" s="10">
        <f>182856*3</f>
        <v>548568</v>
      </c>
      <c r="K19" s="10">
        <f>+(682856*2)+182856</f>
        <v>1548568</v>
      </c>
      <c r="L19" s="10">
        <f>+(182856*2)+182864</f>
        <v>548576</v>
      </c>
      <c r="M19" s="10">
        <f>SUM(Tabla15[[#This Row],[TRIMESTRE  I]:[TRIMESTRE IV]])</f>
        <v>3488514</v>
      </c>
      <c r="N19" s="12" t="s">
        <v>17</v>
      </c>
      <c r="O19" s="42">
        <v>45658</v>
      </c>
      <c r="P19" s="43" t="s">
        <v>61</v>
      </c>
    </row>
    <row r="20" spans="1:16" ht="37.5" customHeight="1" x14ac:dyDescent="0.2">
      <c r="A20" s="3">
        <v>901</v>
      </c>
      <c r="B20" s="4" t="s">
        <v>59</v>
      </c>
      <c r="C20" s="5">
        <v>530</v>
      </c>
      <c r="D20" s="6" t="e">
        <f>IF(C20&lt;=0,"",VLOOKUP(C20,#REF!,2,0))</f>
        <v>#REF!</v>
      </c>
      <c r="E20" s="5" t="s">
        <v>60</v>
      </c>
      <c r="F20" s="7" t="s">
        <v>22</v>
      </c>
      <c r="G20" s="8">
        <v>334001</v>
      </c>
      <c r="H20" s="9" t="s">
        <v>382</v>
      </c>
      <c r="I20" s="10">
        <f>3824+2134</f>
        <v>5958</v>
      </c>
      <c r="J20" s="10">
        <f>1923+1574+1302</f>
        <v>4799</v>
      </c>
      <c r="K20" s="10">
        <f>1246+975+1177</f>
        <v>3398</v>
      </c>
      <c r="L20" s="10">
        <f>707+1283+1600</f>
        <v>3590</v>
      </c>
      <c r="M20" s="10">
        <f>SUM(Tabla15[[#This Row],[TRIMESTRE  I]:[TRIMESTRE IV]])</f>
        <v>17745</v>
      </c>
      <c r="N20" s="12" t="s">
        <v>19</v>
      </c>
      <c r="O20" s="42">
        <v>45658</v>
      </c>
      <c r="P20" s="44" t="s">
        <v>63</v>
      </c>
    </row>
    <row r="21" spans="1:16" ht="37.5" customHeight="1" x14ac:dyDescent="0.2">
      <c r="A21" s="3">
        <v>901</v>
      </c>
      <c r="B21" s="4" t="s">
        <v>59</v>
      </c>
      <c r="C21" s="5">
        <v>530</v>
      </c>
      <c r="D21" s="6" t="e">
        <f>IF(C21&lt;=0,"",VLOOKUP(C21,#REF!,2,0))</f>
        <v>#REF!</v>
      </c>
      <c r="E21" s="5" t="s">
        <v>60</v>
      </c>
      <c r="F21" s="7" t="s">
        <v>22</v>
      </c>
      <c r="G21" s="8">
        <v>337001</v>
      </c>
      <c r="H21" s="9" t="s">
        <v>383</v>
      </c>
      <c r="I21" s="10">
        <f>1525+1682+10969+6122+183</f>
        <v>20481</v>
      </c>
      <c r="J21" s="10">
        <f>5516+4515+3735</f>
        <v>13766</v>
      </c>
      <c r="K21" s="10">
        <f>3579+2796+3375</f>
        <v>9750</v>
      </c>
      <c r="L21" s="10">
        <f>2027+3676+4588</f>
        <v>10291</v>
      </c>
      <c r="M21" s="10">
        <f>SUM(Tabla15[[#This Row],[TRIMESTRE  I]:[TRIMESTRE IV]])</f>
        <v>54288</v>
      </c>
      <c r="N21" s="12" t="s">
        <v>19</v>
      </c>
      <c r="O21" s="42">
        <v>45658</v>
      </c>
      <c r="P21" s="44" t="s">
        <v>63</v>
      </c>
    </row>
    <row r="22" spans="1:16" ht="37.5" customHeight="1" x14ac:dyDescent="0.2">
      <c r="A22" s="3">
        <v>901</v>
      </c>
      <c r="B22" s="4" t="s">
        <v>59</v>
      </c>
      <c r="C22" s="5">
        <v>530</v>
      </c>
      <c r="D22" s="6" t="e">
        <f>IF(C22&lt;=0,"",VLOOKUP(C22,#REF!,2,0))</f>
        <v>#REF!</v>
      </c>
      <c r="E22" s="5" t="s">
        <v>60</v>
      </c>
      <c r="F22" s="7" t="s">
        <v>22</v>
      </c>
      <c r="G22" s="8">
        <v>345001</v>
      </c>
      <c r="H22" s="9" t="s">
        <v>47</v>
      </c>
      <c r="I22" s="10">
        <v>1005084</v>
      </c>
      <c r="J22" s="10"/>
      <c r="K22" s="10"/>
      <c r="L22" s="10"/>
      <c r="M22" s="10">
        <f>SUM(Tabla15[[#This Row],[TRIMESTRE  I]:[TRIMESTRE IV]])</f>
        <v>1005084</v>
      </c>
      <c r="N22" s="12" t="s">
        <v>17</v>
      </c>
      <c r="O22" s="42">
        <v>45658</v>
      </c>
      <c r="P22" s="43" t="s">
        <v>61</v>
      </c>
    </row>
    <row r="23" spans="1:16" ht="37.5" customHeight="1" x14ac:dyDescent="0.2">
      <c r="A23" s="3">
        <v>901</v>
      </c>
      <c r="B23" s="4" t="s">
        <v>59</v>
      </c>
      <c r="C23" s="5">
        <v>530</v>
      </c>
      <c r="D23" s="6" t="e">
        <f>IF(C23&lt;=0,"",VLOOKUP(C23,#REF!,2,0))</f>
        <v>#REF!</v>
      </c>
      <c r="E23" s="5" t="s">
        <v>60</v>
      </c>
      <c r="F23" s="7" t="s">
        <v>22</v>
      </c>
      <c r="G23" s="8">
        <v>347001</v>
      </c>
      <c r="H23" s="9" t="s">
        <v>384</v>
      </c>
      <c r="I23" s="10">
        <f>1254+700+1261+704</f>
        <v>3919</v>
      </c>
      <c r="J23" s="10">
        <f>630+516+427+635+520+429</f>
        <v>3157</v>
      </c>
      <c r="K23" s="10">
        <f>409+320+386+411+322+388</f>
        <v>2236</v>
      </c>
      <c r="L23" s="10">
        <f>232+420+524+234+423+527</f>
        <v>2360</v>
      </c>
      <c r="M23" s="10">
        <f>SUM(Tabla15[[#This Row],[TRIMESTRE  I]:[TRIMESTRE IV]])</f>
        <v>11672</v>
      </c>
      <c r="N23" s="12" t="s">
        <v>19</v>
      </c>
      <c r="O23" s="42">
        <v>45658</v>
      </c>
      <c r="P23" s="44" t="s">
        <v>63</v>
      </c>
    </row>
    <row r="24" spans="1:16" ht="37.5" customHeight="1" x14ac:dyDescent="0.2">
      <c r="A24" s="3">
        <v>901</v>
      </c>
      <c r="B24" s="4" t="s">
        <v>59</v>
      </c>
      <c r="C24" s="5">
        <v>530</v>
      </c>
      <c r="D24" s="6" t="e">
        <f>IF(C24&lt;=0,"",VLOOKUP(C24,#REF!,2,0))</f>
        <v>#REF!</v>
      </c>
      <c r="E24" s="5" t="s">
        <v>60</v>
      </c>
      <c r="F24" s="7" t="s">
        <v>22</v>
      </c>
      <c r="G24" s="8">
        <v>351001</v>
      </c>
      <c r="H24" s="9" t="s">
        <v>153</v>
      </c>
      <c r="I24" s="10">
        <f>+(87040*3)+2023+287+204+170</f>
        <v>263804</v>
      </c>
      <c r="J24" s="10">
        <f>+(87040*3)</f>
        <v>261120</v>
      </c>
      <c r="K24" s="10">
        <f>+(87040*3)</f>
        <v>261120</v>
      </c>
      <c r="L24" s="10">
        <f>+(87040*2)+87051</f>
        <v>261131</v>
      </c>
      <c r="M24" s="10">
        <f>SUM(Tabla15[[#This Row],[TRIMESTRE  I]:[TRIMESTRE IV]])</f>
        <v>1047175</v>
      </c>
      <c r="N24" s="12" t="s">
        <v>20</v>
      </c>
      <c r="O24" s="42">
        <v>45658</v>
      </c>
      <c r="P24" s="44" t="s">
        <v>64</v>
      </c>
    </row>
    <row r="25" spans="1:16" ht="37.5" customHeight="1" x14ac:dyDescent="0.2">
      <c r="A25" s="3">
        <v>901</v>
      </c>
      <c r="B25" s="4" t="s">
        <v>59</v>
      </c>
      <c r="C25" s="5">
        <v>530</v>
      </c>
      <c r="D25" s="6" t="e">
        <f>IF(C25&lt;=0,"",VLOOKUP(C25,#REF!,2,0))</f>
        <v>#REF!</v>
      </c>
      <c r="E25" s="5" t="s">
        <v>60</v>
      </c>
      <c r="F25" s="7" t="s">
        <v>22</v>
      </c>
      <c r="G25" s="8">
        <v>352001</v>
      </c>
      <c r="H25" s="9" t="s">
        <v>167</v>
      </c>
      <c r="I25" s="10">
        <f>1373+767+144+861+680+1971+1146+639+218</f>
        <v>7799</v>
      </c>
      <c r="J25" s="10">
        <f>689+564+468+576+472+390</f>
        <v>3159</v>
      </c>
      <c r="K25" s="10">
        <f>446+349+422+374+292+353</f>
        <v>2236</v>
      </c>
      <c r="L25" s="10">
        <f>253+461+574+213+384+479</f>
        <v>2364</v>
      </c>
      <c r="M25" s="10">
        <f>SUM(Tabla15[[#This Row],[TRIMESTRE  I]:[TRIMESTRE IV]])</f>
        <v>15558</v>
      </c>
      <c r="N25" s="12" t="s">
        <v>19</v>
      </c>
      <c r="O25" s="42">
        <v>45658</v>
      </c>
      <c r="P25" s="44" t="s">
        <v>63</v>
      </c>
    </row>
    <row r="26" spans="1:16" ht="37.5" customHeight="1" x14ac:dyDescent="0.2">
      <c r="A26" s="3">
        <v>901</v>
      </c>
      <c r="B26" s="4" t="s">
        <v>59</v>
      </c>
      <c r="C26" s="5">
        <v>530</v>
      </c>
      <c r="D26" s="6" t="e">
        <f>IF(C26&lt;=0,"",VLOOKUP(C26,#REF!,2,0))</f>
        <v>#REF!</v>
      </c>
      <c r="E26" s="5" t="s">
        <v>60</v>
      </c>
      <c r="F26" s="7" t="s">
        <v>22</v>
      </c>
      <c r="G26" s="8">
        <v>352002</v>
      </c>
      <c r="H26" s="9" t="s">
        <v>385</v>
      </c>
      <c r="I26" s="10">
        <v>3525</v>
      </c>
      <c r="J26" s="10"/>
      <c r="K26" s="10"/>
      <c r="L26" s="10"/>
      <c r="M26" s="10">
        <f>SUM(Tabla15[[#This Row],[TRIMESTRE  I]:[TRIMESTRE IV]])</f>
        <v>3525</v>
      </c>
      <c r="N26" s="12" t="s">
        <v>19</v>
      </c>
      <c r="O26" s="42">
        <v>45658</v>
      </c>
      <c r="P26" s="44" t="s">
        <v>63</v>
      </c>
    </row>
    <row r="27" spans="1:16" ht="37.5" customHeight="1" x14ac:dyDescent="0.2">
      <c r="A27" s="3">
        <v>901</v>
      </c>
      <c r="B27" s="4" t="s">
        <v>59</v>
      </c>
      <c r="C27" s="5">
        <v>530</v>
      </c>
      <c r="D27" s="6" t="e">
        <f>IF(C27&lt;=0,"",VLOOKUP(C27,#REF!,2,0))</f>
        <v>#REF!</v>
      </c>
      <c r="E27" s="5" t="s">
        <v>60</v>
      </c>
      <c r="F27" s="7" t="s">
        <v>22</v>
      </c>
      <c r="G27" s="8">
        <v>355001</v>
      </c>
      <c r="H27" s="9" t="s">
        <v>56</v>
      </c>
      <c r="I27" s="10">
        <f>2597+1000000+28896+16129+800+200+3198+128+240+713</f>
        <v>1052901</v>
      </c>
      <c r="J27" s="10">
        <f>14530+11895+9840</f>
        <v>36265</v>
      </c>
      <c r="K27" s="10">
        <f>9418+7364+8893</f>
        <v>25675</v>
      </c>
      <c r="L27" s="10">
        <f>5341+9683+12088</f>
        <v>27112</v>
      </c>
      <c r="M27" s="10">
        <f>SUM(Tabla15[[#This Row],[TRIMESTRE  I]:[TRIMESTRE IV]])</f>
        <v>1141953</v>
      </c>
      <c r="N27" s="12" t="s">
        <v>20</v>
      </c>
      <c r="O27" s="42">
        <v>45658</v>
      </c>
      <c r="P27" s="44" t="s">
        <v>64</v>
      </c>
    </row>
    <row r="28" spans="1:16" ht="37.5" customHeight="1" x14ac:dyDescent="0.2">
      <c r="A28" s="3">
        <v>901</v>
      </c>
      <c r="B28" s="4" t="s">
        <v>59</v>
      </c>
      <c r="C28" s="5">
        <v>530</v>
      </c>
      <c r="D28" s="6" t="e">
        <f>IF(C28&lt;=0,"",VLOOKUP(C28,#REF!,2,0))</f>
        <v>#REF!</v>
      </c>
      <c r="E28" s="5" t="s">
        <v>60</v>
      </c>
      <c r="F28" s="7" t="s">
        <v>22</v>
      </c>
      <c r="G28" s="8">
        <v>358001</v>
      </c>
      <c r="H28" s="9" t="s">
        <v>155</v>
      </c>
      <c r="I28" s="10">
        <f>4046+2259+800</f>
        <v>7105</v>
      </c>
      <c r="J28" s="10">
        <f>2035+1666+1378</f>
        <v>5079</v>
      </c>
      <c r="K28" s="10">
        <f>1320+1031+1245</f>
        <v>3596</v>
      </c>
      <c r="L28" s="10">
        <f>748+1356+1693</f>
        <v>3797</v>
      </c>
      <c r="M28" s="10">
        <f>SUM(Tabla15[[#This Row],[TRIMESTRE  I]:[TRIMESTRE IV]])</f>
        <v>19577</v>
      </c>
      <c r="N28" s="12" t="s">
        <v>19</v>
      </c>
      <c r="O28" s="42">
        <v>45658</v>
      </c>
      <c r="P28" s="44" t="s">
        <v>63</v>
      </c>
    </row>
    <row r="29" spans="1:16" ht="37.5" customHeight="1" x14ac:dyDescent="0.2">
      <c r="A29" s="3">
        <v>901</v>
      </c>
      <c r="B29" s="4" t="s">
        <v>59</v>
      </c>
      <c r="C29" s="5">
        <v>530</v>
      </c>
      <c r="D29" s="6" t="e">
        <f>IF(C29&lt;=0,"",VLOOKUP(C29,#REF!,2,0))</f>
        <v>#REF!</v>
      </c>
      <c r="E29" s="5" t="s">
        <v>60</v>
      </c>
      <c r="F29" s="7" t="s">
        <v>22</v>
      </c>
      <c r="G29" s="8">
        <v>361002</v>
      </c>
      <c r="H29" s="9" t="s">
        <v>315</v>
      </c>
      <c r="I29" s="10">
        <f>164+3622+2021</f>
        <v>5807</v>
      </c>
      <c r="J29" s="10"/>
      <c r="K29" s="10"/>
      <c r="L29" s="10"/>
      <c r="M29" s="10">
        <f>SUM(Tabla15[[#This Row],[TRIMESTRE  I]:[TRIMESTRE IV]])</f>
        <v>5807</v>
      </c>
      <c r="N29" s="12" t="s">
        <v>19</v>
      </c>
      <c r="O29" s="42">
        <v>45658</v>
      </c>
      <c r="P29" s="44" t="s">
        <v>63</v>
      </c>
    </row>
    <row r="30" spans="1:16" ht="37.5" customHeight="1" x14ac:dyDescent="0.2">
      <c r="A30" s="3">
        <v>901</v>
      </c>
      <c r="B30" s="4" t="s">
        <v>59</v>
      </c>
      <c r="C30" s="5">
        <v>530</v>
      </c>
      <c r="D30" s="6" t="e">
        <f>IF(C30&lt;=0,"",VLOOKUP(C30,#REF!,2,0))</f>
        <v>#REF!</v>
      </c>
      <c r="E30" s="5" t="s">
        <v>60</v>
      </c>
      <c r="F30" s="7" t="s">
        <v>22</v>
      </c>
      <c r="G30" s="8">
        <v>361003</v>
      </c>
      <c r="H30" s="9" t="s">
        <v>386</v>
      </c>
      <c r="I30" s="10">
        <f>1983+170+102</f>
        <v>2255</v>
      </c>
      <c r="J30" s="10"/>
      <c r="K30" s="10"/>
      <c r="L30" s="10"/>
      <c r="M30" s="10">
        <f>SUM(Tabla15[[#This Row],[TRIMESTRE  I]:[TRIMESTRE IV]])</f>
        <v>2255</v>
      </c>
      <c r="N30" s="12" t="s">
        <v>19</v>
      </c>
      <c r="O30" s="42">
        <v>45658</v>
      </c>
      <c r="P30" s="44" t="s">
        <v>63</v>
      </c>
    </row>
    <row r="31" spans="1:16" ht="37.5" customHeight="1" x14ac:dyDescent="0.2">
      <c r="A31" s="3">
        <v>901</v>
      </c>
      <c r="B31" s="4" t="s">
        <v>59</v>
      </c>
      <c r="C31" s="5">
        <v>530</v>
      </c>
      <c r="D31" s="6" t="e">
        <f>IF(C31&lt;=0,"",VLOOKUP(C31,#REF!,2,0))</f>
        <v>#REF!</v>
      </c>
      <c r="E31" s="5" t="s">
        <v>60</v>
      </c>
      <c r="F31" s="7" t="s">
        <v>22</v>
      </c>
      <c r="G31" s="8">
        <v>371001</v>
      </c>
      <c r="H31" s="9" t="s">
        <v>31</v>
      </c>
      <c r="I31" s="10">
        <f>+(205080*3)+346+5370+2996+916+512+4815+4703</f>
        <v>634898</v>
      </c>
      <c r="J31" s="10">
        <f>+(205080*3)+2700+2210+1828+462+378+313</f>
        <v>623131</v>
      </c>
      <c r="K31" s="10">
        <f>+(205080*3)+1752+1369+1653+299+235+283</f>
        <v>620831</v>
      </c>
      <c r="L31" s="10">
        <f>+(205080*3)+993+1799+2247+170+308+383</f>
        <v>621140</v>
      </c>
      <c r="M31" s="10">
        <f>SUM(Tabla15[[#This Row],[TRIMESTRE  I]:[TRIMESTRE IV]])</f>
        <v>2500000</v>
      </c>
      <c r="N31" s="12" t="s">
        <v>17</v>
      </c>
      <c r="O31" s="42">
        <v>45658</v>
      </c>
      <c r="P31" s="8" t="s">
        <v>67</v>
      </c>
    </row>
    <row r="32" spans="1:16" ht="37.5" customHeight="1" x14ac:dyDescent="0.2">
      <c r="A32" s="3">
        <v>901</v>
      </c>
      <c r="B32" s="4" t="s">
        <v>59</v>
      </c>
      <c r="C32" s="5">
        <v>530</v>
      </c>
      <c r="D32" s="6" t="e">
        <f>IF(C32&lt;=0,"",VLOOKUP(C32,#REF!,2,0))</f>
        <v>#REF!</v>
      </c>
      <c r="E32" s="5" t="s">
        <v>60</v>
      </c>
      <c r="F32" s="7" t="s">
        <v>22</v>
      </c>
      <c r="G32" s="8">
        <v>378001</v>
      </c>
      <c r="H32" s="9" t="s">
        <v>387</v>
      </c>
      <c r="I32" s="10">
        <f>250000+250000+455830</f>
        <v>955830</v>
      </c>
      <c r="J32" s="10">
        <f>250000+250000+250000</f>
        <v>750000</v>
      </c>
      <c r="K32" s="10">
        <f>+(250000*3)</f>
        <v>750000</v>
      </c>
      <c r="L32" s="10">
        <f>+(250000*3)</f>
        <v>750000</v>
      </c>
      <c r="M32" s="10">
        <f>SUM(Tabla15[[#This Row],[TRIMESTRE  I]:[TRIMESTRE IV]])</f>
        <v>3205830</v>
      </c>
      <c r="N32" s="12" t="s">
        <v>19</v>
      </c>
      <c r="O32" s="42">
        <v>45658</v>
      </c>
      <c r="P32" s="44" t="s">
        <v>63</v>
      </c>
    </row>
    <row r="33" spans="1:16" ht="37.5" customHeight="1" x14ac:dyDescent="0.2">
      <c r="A33" s="3">
        <v>901</v>
      </c>
      <c r="B33" s="4" t="s">
        <v>59</v>
      </c>
      <c r="C33" s="5">
        <v>530</v>
      </c>
      <c r="D33" s="6" t="e">
        <f>IF(C33&lt;=0,"",VLOOKUP(C33,#REF!,2,0))</f>
        <v>#REF!</v>
      </c>
      <c r="E33" s="5" t="s">
        <v>60</v>
      </c>
      <c r="F33" s="7" t="s">
        <v>22</v>
      </c>
      <c r="G33" s="8">
        <v>382002</v>
      </c>
      <c r="H33" s="9" t="s">
        <v>57</v>
      </c>
      <c r="I33" s="10">
        <f>1240+461+120+943</f>
        <v>2764</v>
      </c>
      <c r="J33" s="10"/>
      <c r="K33" s="10"/>
      <c r="L33" s="10"/>
      <c r="M33" s="10">
        <f>SUM(Tabla15[[#This Row],[TRIMESTRE  I]:[TRIMESTRE IV]])</f>
        <v>2764</v>
      </c>
      <c r="N33" s="12" t="s">
        <v>19</v>
      </c>
      <c r="O33" s="42">
        <v>45658</v>
      </c>
      <c r="P33" s="44" t="s">
        <v>63</v>
      </c>
    </row>
    <row r="34" spans="1:16" ht="37.5" customHeight="1" x14ac:dyDescent="0.2">
      <c r="A34" s="3">
        <v>901</v>
      </c>
      <c r="B34" s="4" t="s">
        <v>59</v>
      </c>
      <c r="C34" s="5">
        <v>530</v>
      </c>
      <c r="D34" s="6" t="e">
        <f>IF(C34&lt;=0,"",VLOOKUP(C34,#REF!,2,0))</f>
        <v>#REF!</v>
      </c>
      <c r="E34" s="5" t="s">
        <v>60</v>
      </c>
      <c r="F34" s="7" t="s">
        <v>22</v>
      </c>
      <c r="G34" s="8">
        <v>392001</v>
      </c>
      <c r="H34" s="9" t="s">
        <v>388</v>
      </c>
      <c r="I34" s="10">
        <f>127+215</f>
        <v>342</v>
      </c>
      <c r="J34" s="10"/>
      <c r="K34" s="10"/>
      <c r="L34" s="10"/>
      <c r="M34" s="10">
        <f>SUM(Tabla15[[#This Row],[TRIMESTRE  I]:[TRIMESTRE IV]])</f>
        <v>342</v>
      </c>
      <c r="N34" s="12" t="s">
        <v>19</v>
      </c>
      <c r="O34" s="42">
        <v>45658</v>
      </c>
      <c r="P34" s="44" t="s">
        <v>63</v>
      </c>
    </row>
    <row r="35" spans="1:16" ht="37.5" customHeight="1" x14ac:dyDescent="0.2">
      <c r="A35" s="3">
        <v>901</v>
      </c>
      <c r="B35" s="4" t="s">
        <v>59</v>
      </c>
      <c r="C35" s="5">
        <v>530</v>
      </c>
      <c r="D35" s="6" t="e">
        <f>IF(C35&lt;=0,"",VLOOKUP(C35,#REF!,2,0))</f>
        <v>#REF!</v>
      </c>
      <c r="E35" s="5" t="s">
        <v>60</v>
      </c>
      <c r="F35" s="7" t="s">
        <v>22</v>
      </c>
      <c r="G35" s="8">
        <v>399001</v>
      </c>
      <c r="H35" s="9" t="s">
        <v>389</v>
      </c>
      <c r="I35" s="10">
        <f>1410+173+136+150+326</f>
        <v>2195</v>
      </c>
      <c r="J35" s="10"/>
      <c r="K35" s="10"/>
      <c r="L35" s="10"/>
      <c r="M35" s="10">
        <f>SUM(Tabla15[[#This Row],[TRIMESTRE  I]:[TRIMESTRE IV]])</f>
        <v>2195</v>
      </c>
      <c r="N35" s="12" t="s">
        <v>19</v>
      </c>
      <c r="O35" s="42">
        <v>45658</v>
      </c>
      <c r="P35" s="44" t="s">
        <v>63</v>
      </c>
    </row>
    <row r="36" spans="1:16" s="108" customFormat="1" ht="37.5" customHeight="1" thickBot="1" x14ac:dyDescent="0.25">
      <c r="A36" s="97"/>
      <c r="B36" s="98"/>
      <c r="C36" s="99"/>
      <c r="D36" s="100" t="str">
        <f>IF(C36&lt;=0,"",VLOOKUP(C36,#REF!,2,0))</f>
        <v/>
      </c>
      <c r="E36" s="99"/>
      <c r="F36" s="99"/>
      <c r="G36" s="101"/>
      <c r="H36" s="102" t="str">
        <f>IF(G36&lt;=0,"",VLOOKUP(G36,#REF!,2,0))</f>
        <v/>
      </c>
      <c r="I36" s="103"/>
      <c r="J36" s="103"/>
      <c r="K36" s="104"/>
      <c r="L36" s="103"/>
      <c r="M36" s="105">
        <f>SUBTOTAL(109,M5:M35)</f>
        <v>46641006</v>
      </c>
      <c r="N36" s="103"/>
      <c r="O36" s="103"/>
      <c r="P36" s="101"/>
    </row>
    <row r="37" spans="1:16" ht="37.5" customHeight="1" thickTop="1" x14ac:dyDescent="0.2">
      <c r="A37" s="64"/>
      <c r="B37" s="65"/>
      <c r="C37" s="66"/>
      <c r="D37" s="75" t="str">
        <f>IF(C37&lt;=0,"",VLOOKUP(C37,#REF!,2,0))</f>
        <v/>
      </c>
      <c r="E37" s="66"/>
      <c r="F37" s="67"/>
      <c r="G37" s="68"/>
      <c r="H37" s="87" t="str">
        <f>IF(G37&lt;=0,"",VLOOKUP(G37,#REF!,2,0))</f>
        <v/>
      </c>
      <c r="I37" s="90"/>
      <c r="J37" s="90"/>
      <c r="K37" s="90"/>
      <c r="L37" s="90"/>
      <c r="M37" s="77"/>
      <c r="N37" s="69"/>
      <c r="O37" s="70"/>
      <c r="P37" s="68"/>
    </row>
    <row r="38" spans="1:16" ht="37.5" customHeight="1" x14ac:dyDescent="0.2">
      <c r="A38" s="64"/>
      <c r="B38" s="65"/>
      <c r="C38" s="66"/>
      <c r="D38" s="75" t="str">
        <f>IF(C38&lt;=0,"",VLOOKUP(C38,#REF!,2,0))</f>
        <v/>
      </c>
      <c r="E38" s="66"/>
      <c r="F38" s="67"/>
      <c r="G38" s="68"/>
      <c r="H38" s="87" t="str">
        <f>IF(G38&lt;=0,"",VLOOKUP(G38,#REF!,2,0))</f>
        <v/>
      </c>
      <c r="I38" s="90"/>
      <c r="J38" s="90"/>
      <c r="K38" s="90"/>
      <c r="L38" s="90"/>
      <c r="M38" s="77"/>
      <c r="N38" s="69"/>
      <c r="O38" s="70"/>
      <c r="P38" s="68"/>
    </row>
    <row r="39" spans="1:16" ht="37.5" customHeight="1" x14ac:dyDescent="0.2">
      <c r="A39" s="64"/>
      <c r="B39" s="65"/>
      <c r="C39" s="66"/>
      <c r="D39" s="75" t="str">
        <f>IF(C39&lt;=0,"",VLOOKUP(C39,#REF!,2,0))</f>
        <v/>
      </c>
      <c r="E39" s="66"/>
      <c r="F39" s="67"/>
      <c r="G39" s="68"/>
      <c r="H39" s="87" t="str">
        <f>IF(G39&lt;=0,"",VLOOKUP(G39,#REF!,2,0))</f>
        <v/>
      </c>
      <c r="I39" s="90"/>
      <c r="J39" s="90"/>
      <c r="K39" s="90"/>
      <c r="L39" s="90"/>
      <c r="M39" s="77"/>
      <c r="N39" s="69"/>
      <c r="O39" s="70"/>
      <c r="P39" s="68"/>
    </row>
    <row r="40" spans="1:16" ht="37.5" customHeight="1" x14ac:dyDescent="0.2">
      <c r="A40" s="64"/>
      <c r="B40" s="65"/>
      <c r="C40" s="66"/>
      <c r="D40" s="75" t="str">
        <f>IF(C40&lt;=0,"",VLOOKUP(C40,#REF!,2,0))</f>
        <v/>
      </c>
      <c r="E40" s="66"/>
      <c r="F40" s="67"/>
      <c r="G40" s="68"/>
      <c r="H40" s="87" t="str">
        <f>IF(G40&lt;=0,"",VLOOKUP(G40,#REF!,2,0))</f>
        <v/>
      </c>
      <c r="I40" s="90"/>
      <c r="J40" s="90"/>
      <c r="K40" s="90"/>
      <c r="L40" s="90"/>
      <c r="M40" s="77"/>
      <c r="N40" s="69"/>
      <c r="O40" s="70"/>
      <c r="P40" s="68"/>
    </row>
    <row r="41" spans="1:16" ht="37.5" customHeight="1" x14ac:dyDescent="0.2">
      <c r="A41" s="3"/>
      <c r="B41" s="4"/>
      <c r="C41" s="5"/>
      <c r="D41" s="6" t="str">
        <f>IF(C41&lt;=0,"",VLOOKUP(C41,#REF!,2,0))</f>
        <v/>
      </c>
      <c r="E41" s="5"/>
      <c r="F41" s="7"/>
      <c r="G41" s="8"/>
      <c r="H41" s="9" t="str">
        <f>IF(G41&lt;=0,"",VLOOKUP(G41,#REF!,2,0))</f>
        <v/>
      </c>
      <c r="I41" s="10"/>
      <c r="J41" s="10"/>
      <c r="K41" s="10"/>
      <c r="L41" s="10"/>
      <c r="M41" s="11"/>
      <c r="N41" s="12"/>
      <c r="O41" s="42"/>
      <c r="P41" s="8"/>
    </row>
    <row r="42" spans="1:16" ht="37.5" customHeight="1" x14ac:dyDescent="0.2">
      <c r="A42" s="3"/>
      <c r="B42" s="4"/>
      <c r="C42" s="5"/>
      <c r="D42" s="6" t="str">
        <f>IF(C42&lt;=0,"",VLOOKUP(C42,#REF!,2,0))</f>
        <v/>
      </c>
      <c r="E42" s="5"/>
      <c r="F42" s="7"/>
      <c r="G42" s="8"/>
      <c r="H42" s="9" t="str">
        <f>IF(G42&lt;=0,"",VLOOKUP(G42,#REF!,2,0))</f>
        <v/>
      </c>
      <c r="I42" s="10"/>
      <c r="J42" s="10"/>
      <c r="K42" s="10"/>
      <c r="L42" s="10"/>
      <c r="M42" s="11"/>
      <c r="N42" s="12"/>
      <c r="O42" s="42"/>
      <c r="P42" s="8"/>
    </row>
    <row r="43" spans="1:16" ht="37.5" customHeight="1" x14ac:dyDescent="0.2">
      <c r="A43" s="3"/>
      <c r="B43" s="4"/>
      <c r="C43" s="5"/>
      <c r="D43" s="6" t="str">
        <f>IF(C43&lt;=0,"",VLOOKUP(C43,#REF!,2,0))</f>
        <v/>
      </c>
      <c r="E43" s="5"/>
      <c r="F43" s="7"/>
      <c r="G43" s="8"/>
      <c r="H43" s="9" t="str">
        <f>IF(G43&lt;=0,"",VLOOKUP(G43,#REF!,2,0))</f>
        <v/>
      </c>
      <c r="I43" s="10"/>
      <c r="J43" s="10"/>
      <c r="K43" s="10"/>
      <c r="L43" s="10"/>
      <c r="M43" s="11"/>
      <c r="N43" s="12"/>
      <c r="O43" s="42"/>
      <c r="P43" s="8"/>
    </row>
    <row r="44" spans="1:16" ht="37.5" customHeight="1" x14ac:dyDescent="0.2">
      <c r="A44" s="3"/>
      <c r="B44" s="4"/>
      <c r="C44" s="5"/>
      <c r="D44" s="6" t="str">
        <f>IF(C44&lt;=0,"",VLOOKUP(C44,#REF!,2,0))</f>
        <v/>
      </c>
      <c r="E44" s="5"/>
      <c r="F44" s="7"/>
      <c r="G44" s="8"/>
      <c r="H44" s="9" t="str">
        <f>IF(G44&lt;=0,"",VLOOKUP(G44,#REF!,2,0))</f>
        <v/>
      </c>
      <c r="I44" s="10"/>
      <c r="J44" s="10"/>
      <c r="K44" s="10"/>
      <c r="L44" s="10"/>
      <c r="M44" s="11"/>
      <c r="N44" s="12"/>
      <c r="O44" s="42"/>
      <c r="P44" s="8"/>
    </row>
    <row r="45" spans="1:16" ht="37.5" customHeight="1" x14ac:dyDescent="0.2">
      <c r="A45" s="3"/>
      <c r="B45" s="4"/>
      <c r="C45" s="5"/>
      <c r="D45" s="6" t="str">
        <f>IF(C45&lt;=0,"",VLOOKUP(C45,#REF!,2,0))</f>
        <v/>
      </c>
      <c r="E45" s="5"/>
      <c r="F45" s="7"/>
      <c r="G45" s="8"/>
      <c r="H45" s="9" t="str">
        <f>IF(G45&lt;=0,"",VLOOKUP(G45,#REF!,2,0))</f>
        <v/>
      </c>
      <c r="I45" s="10"/>
      <c r="J45" s="10"/>
      <c r="K45" s="10"/>
      <c r="L45" s="10"/>
      <c r="M45" s="11"/>
      <c r="N45" s="12"/>
      <c r="O45" s="42"/>
      <c r="P45" s="8"/>
    </row>
    <row r="46" spans="1:16" ht="37.5" customHeight="1" x14ac:dyDescent="0.2">
      <c r="A46" s="3"/>
      <c r="B46" s="4"/>
      <c r="C46" s="5"/>
      <c r="D46" s="6" t="str">
        <f>IF(C46&lt;=0,"",VLOOKUP(C46,#REF!,2,0))</f>
        <v/>
      </c>
      <c r="E46" s="5"/>
      <c r="F46" s="7"/>
      <c r="G46" s="8"/>
      <c r="H46" s="9" t="str">
        <f>IF(G46&lt;=0,"",VLOOKUP(G46,#REF!,2,0))</f>
        <v/>
      </c>
      <c r="I46" s="10"/>
      <c r="J46" s="10"/>
      <c r="K46" s="10"/>
      <c r="L46" s="10"/>
      <c r="M46" s="11"/>
      <c r="N46" s="12"/>
      <c r="O46" s="42"/>
      <c r="P46" s="8"/>
    </row>
    <row r="47" spans="1:16" ht="37.5" customHeight="1" x14ac:dyDescent="0.2">
      <c r="A47" s="3"/>
      <c r="B47" s="4"/>
      <c r="C47" s="5"/>
      <c r="D47" s="6" t="str">
        <f>IF(C47&lt;=0,"",VLOOKUP(C47,#REF!,2,0))</f>
        <v/>
      </c>
      <c r="E47" s="5"/>
      <c r="F47" s="7"/>
      <c r="G47" s="8"/>
      <c r="H47" s="9" t="str">
        <f>IF(G47&lt;=0,"",VLOOKUP(G47,#REF!,2,0))</f>
        <v/>
      </c>
      <c r="I47" s="10"/>
      <c r="J47" s="10"/>
      <c r="K47" s="10"/>
      <c r="L47" s="10"/>
      <c r="M47" s="11"/>
      <c r="N47" s="12"/>
      <c r="O47" s="42"/>
      <c r="P47" s="8"/>
    </row>
    <row r="48" spans="1:16" ht="37.5" customHeight="1" x14ac:dyDescent="0.2">
      <c r="A48" s="3"/>
      <c r="B48" s="4"/>
      <c r="C48" s="5"/>
      <c r="D48" s="6" t="str">
        <f>IF(C48&lt;=0,"",VLOOKUP(C48,#REF!,2,0))</f>
        <v/>
      </c>
      <c r="E48" s="5"/>
      <c r="F48" s="7"/>
      <c r="G48" s="8"/>
      <c r="H48" s="9" t="str">
        <f>IF(G48&lt;=0,"",VLOOKUP(G48,#REF!,2,0))</f>
        <v/>
      </c>
      <c r="I48" s="10"/>
      <c r="J48" s="10"/>
      <c r="K48" s="10"/>
      <c r="L48" s="10"/>
      <c r="M48" s="11"/>
      <c r="N48" s="12"/>
      <c r="O48" s="42"/>
      <c r="P48" s="8"/>
    </row>
    <row r="49" spans="1:16" ht="37.5" customHeight="1" x14ac:dyDescent="0.2">
      <c r="A49" s="3"/>
      <c r="B49" s="4"/>
      <c r="C49" s="5"/>
      <c r="D49" s="6" t="str">
        <f>IF(C49&lt;=0,"",VLOOKUP(C49,#REF!,2,0))</f>
        <v/>
      </c>
      <c r="E49" s="5"/>
      <c r="F49" s="7"/>
      <c r="G49" s="8"/>
      <c r="H49" s="9" t="str">
        <f>IF(G49&lt;=0,"",VLOOKUP(G49,#REF!,2,0))</f>
        <v/>
      </c>
      <c r="I49" s="10"/>
      <c r="J49" s="10"/>
      <c r="K49" s="10"/>
      <c r="L49" s="10"/>
      <c r="M49" s="11"/>
      <c r="N49" s="12"/>
      <c r="O49" s="42"/>
      <c r="P49" s="8"/>
    </row>
    <row r="50" spans="1:16" ht="37.5" customHeight="1" x14ac:dyDescent="0.2">
      <c r="A50" s="3"/>
      <c r="B50" s="4"/>
      <c r="C50" s="5"/>
      <c r="D50" s="6" t="str">
        <f>IF(C50&lt;=0,"",VLOOKUP(C50,#REF!,2,0))</f>
        <v/>
      </c>
      <c r="E50" s="5"/>
      <c r="F50" s="7"/>
      <c r="G50" s="8"/>
      <c r="H50" s="9" t="str">
        <f>IF(G50&lt;=0,"",VLOOKUP(G50,#REF!,2,0))</f>
        <v/>
      </c>
      <c r="I50" s="10"/>
      <c r="J50" s="10"/>
      <c r="K50" s="10"/>
      <c r="L50" s="10"/>
      <c r="M50" s="11"/>
      <c r="N50" s="12"/>
      <c r="O50" s="42"/>
      <c r="P50" s="8"/>
    </row>
    <row r="51" spans="1:16" ht="37.5" customHeight="1" x14ac:dyDescent="0.2">
      <c r="A51" s="3"/>
      <c r="B51" s="4"/>
      <c r="C51" s="5"/>
      <c r="D51" s="6" t="str">
        <f>IF(C51&lt;=0,"",VLOOKUP(C51,#REF!,2,0))</f>
        <v/>
      </c>
      <c r="E51" s="5"/>
      <c r="F51" s="7"/>
      <c r="G51" s="8"/>
      <c r="H51" s="9" t="str">
        <f>IF(G51&lt;=0,"",VLOOKUP(G51,#REF!,2,0))</f>
        <v/>
      </c>
      <c r="I51" s="10"/>
      <c r="J51" s="10"/>
      <c r="K51" s="10"/>
      <c r="L51" s="10"/>
      <c r="M51" s="11"/>
      <c r="N51" s="12"/>
      <c r="O51" s="42"/>
      <c r="P51" s="8"/>
    </row>
    <row r="52" spans="1:16" ht="37.5" customHeight="1" x14ac:dyDescent="0.2">
      <c r="A52" s="3"/>
      <c r="B52" s="4"/>
      <c r="C52" s="5"/>
      <c r="D52" s="6" t="str">
        <f>IF(C52&lt;=0,"",VLOOKUP(C52,#REF!,2,0))</f>
        <v/>
      </c>
      <c r="E52" s="5"/>
      <c r="F52" s="7"/>
      <c r="G52" s="8"/>
      <c r="H52" s="9" t="str">
        <f>IF(G52&lt;=0,"",VLOOKUP(G52,#REF!,2,0))</f>
        <v/>
      </c>
      <c r="I52" s="10"/>
      <c r="J52" s="10"/>
      <c r="K52" s="10"/>
      <c r="L52" s="10"/>
      <c r="M52" s="11"/>
      <c r="N52" s="12"/>
      <c r="O52" s="42"/>
      <c r="P52" s="8"/>
    </row>
    <row r="53" spans="1:16" ht="37.5" customHeight="1" x14ac:dyDescent="0.2">
      <c r="A53" s="3"/>
      <c r="B53" s="4"/>
      <c r="C53" s="5"/>
      <c r="D53" s="6" t="str">
        <f>IF(C53&lt;=0,"",VLOOKUP(C53,#REF!,2,0))</f>
        <v/>
      </c>
      <c r="E53" s="5"/>
      <c r="F53" s="7"/>
      <c r="G53" s="8"/>
      <c r="H53" s="9" t="str">
        <f>IF(G53&lt;=0,"",VLOOKUP(G53,#REF!,2,0))</f>
        <v/>
      </c>
      <c r="I53" s="10"/>
      <c r="J53" s="10"/>
      <c r="K53" s="10"/>
      <c r="L53" s="10"/>
      <c r="M53" s="11"/>
      <c r="N53" s="12"/>
      <c r="O53" s="42"/>
      <c r="P53" s="8"/>
    </row>
    <row r="54" spans="1:16" ht="37.5" customHeight="1" x14ac:dyDescent="0.2">
      <c r="A54" s="3"/>
      <c r="B54" s="4"/>
      <c r="C54" s="5"/>
      <c r="D54" s="6" t="str">
        <f>IF(C54&lt;=0,"",VLOOKUP(C54,#REF!,2,0))</f>
        <v/>
      </c>
      <c r="E54" s="5"/>
      <c r="F54" s="7"/>
      <c r="G54" s="8"/>
      <c r="H54" s="9" t="str">
        <f>IF(G54&lt;=0,"",VLOOKUP(G54,#REF!,2,0))</f>
        <v/>
      </c>
      <c r="I54" s="10"/>
      <c r="J54" s="10"/>
      <c r="K54" s="10"/>
      <c r="L54" s="10"/>
      <c r="M54" s="11"/>
      <c r="N54" s="12"/>
      <c r="O54" s="42"/>
      <c r="P54" s="8"/>
    </row>
    <row r="55" spans="1:16" ht="37.5" customHeight="1" x14ac:dyDescent="0.2">
      <c r="A55" s="3"/>
      <c r="B55" s="4"/>
      <c r="C55" s="5"/>
      <c r="D55" s="6" t="str">
        <f>IF(C55&lt;=0,"",VLOOKUP(C55,#REF!,2,0))</f>
        <v/>
      </c>
      <c r="E55" s="5"/>
      <c r="F55" s="7"/>
      <c r="G55" s="8"/>
      <c r="H55" s="9" t="str">
        <f>IF(G55&lt;=0,"",VLOOKUP(G55,#REF!,2,0))</f>
        <v/>
      </c>
      <c r="I55" s="10"/>
      <c r="J55" s="10"/>
      <c r="K55" s="10"/>
      <c r="L55" s="10"/>
      <c r="M55" s="11"/>
      <c r="N55" s="12"/>
      <c r="O55" s="42"/>
      <c r="P55" s="8"/>
    </row>
    <row r="56" spans="1:16" ht="37.5" customHeight="1" x14ac:dyDescent="0.2">
      <c r="A56" s="3"/>
      <c r="B56" s="4"/>
      <c r="C56" s="5"/>
      <c r="D56" s="6" t="str">
        <f>IF(C56&lt;=0,"",VLOOKUP(C56,#REF!,2,0))</f>
        <v/>
      </c>
      <c r="E56" s="5"/>
      <c r="F56" s="7"/>
      <c r="G56" s="8"/>
      <c r="H56" s="9" t="str">
        <f>IF(G56&lt;=0,"",VLOOKUP(G56,#REF!,2,0))</f>
        <v/>
      </c>
      <c r="I56" s="10"/>
      <c r="J56" s="10"/>
      <c r="K56" s="10"/>
      <c r="L56" s="10"/>
      <c r="M56" s="11"/>
      <c r="N56" s="12"/>
      <c r="O56" s="42"/>
      <c r="P56" s="8"/>
    </row>
    <row r="57" spans="1:16" ht="37.5" customHeight="1" x14ac:dyDescent="0.2">
      <c r="A57" s="3"/>
      <c r="B57" s="4"/>
      <c r="C57" s="5"/>
      <c r="D57" s="6" t="str">
        <f>IF(C57&lt;=0,"",VLOOKUP(C57,#REF!,2,0))</f>
        <v/>
      </c>
      <c r="E57" s="5"/>
      <c r="F57" s="7"/>
      <c r="G57" s="8"/>
      <c r="H57" s="9" t="str">
        <f>IF(G57&lt;=0,"",VLOOKUP(G57,#REF!,2,0))</f>
        <v/>
      </c>
      <c r="I57" s="10"/>
      <c r="J57" s="10"/>
      <c r="K57" s="10"/>
      <c r="L57" s="10"/>
      <c r="M57" s="11"/>
      <c r="N57" s="12"/>
      <c r="O57" s="12"/>
      <c r="P57" s="8"/>
    </row>
    <row r="58" spans="1:16" ht="37.5" customHeight="1" x14ac:dyDescent="0.2">
      <c r="A58" s="3"/>
      <c r="B58" s="4"/>
      <c r="C58" s="5"/>
      <c r="D58" s="6" t="str">
        <f>IF(C58&lt;=0,"",VLOOKUP(C58,#REF!,2,0))</f>
        <v/>
      </c>
      <c r="E58" s="5"/>
      <c r="F58" s="7"/>
      <c r="G58" s="8"/>
      <c r="H58" s="9" t="str">
        <f>IF(G58&lt;=0,"",VLOOKUP(G58,#REF!,2,0))</f>
        <v/>
      </c>
      <c r="I58" s="10"/>
      <c r="J58" s="10"/>
      <c r="K58" s="10"/>
      <c r="L58" s="10"/>
      <c r="M58" s="11"/>
      <c r="N58" s="12"/>
      <c r="O58" s="12"/>
      <c r="P58" s="8"/>
    </row>
    <row r="59" spans="1:16" ht="37.5" customHeight="1" x14ac:dyDescent="0.2">
      <c r="A59" s="3"/>
      <c r="B59" s="4"/>
      <c r="C59" s="5"/>
      <c r="D59" s="6" t="str">
        <f>IF(C59&lt;=0,"",VLOOKUP(C59,#REF!,2,0))</f>
        <v/>
      </c>
      <c r="E59" s="5"/>
      <c r="F59" s="7"/>
      <c r="G59" s="8"/>
      <c r="H59" s="9" t="str">
        <f>IF(G59&lt;=0,"",VLOOKUP(G59,#REF!,2,0))</f>
        <v/>
      </c>
      <c r="I59" s="10"/>
      <c r="J59" s="10"/>
      <c r="K59" s="10"/>
      <c r="L59" s="10"/>
      <c r="M59" s="11"/>
      <c r="N59" s="12"/>
      <c r="O59" s="12"/>
      <c r="P59" s="8"/>
    </row>
    <row r="60" spans="1:16" ht="37.5" customHeight="1" x14ac:dyDescent="0.2">
      <c r="A60" s="3"/>
      <c r="B60" s="4"/>
      <c r="C60" s="5"/>
      <c r="D60" s="6" t="str">
        <f>IF(C60&lt;=0,"",VLOOKUP(C60,#REF!,2,0))</f>
        <v/>
      </c>
      <c r="E60" s="5"/>
      <c r="F60" s="7"/>
      <c r="G60" s="8"/>
      <c r="H60" s="9" t="str">
        <f>IF(G60&lt;=0,"",VLOOKUP(G60,#REF!,2,0))</f>
        <v/>
      </c>
      <c r="I60" s="10"/>
      <c r="J60" s="10"/>
      <c r="K60" s="10"/>
      <c r="L60" s="10"/>
      <c r="M60" s="11"/>
      <c r="N60" s="12"/>
      <c r="O60" s="12"/>
      <c r="P60" s="8"/>
    </row>
    <row r="61" spans="1:16" ht="37.5" customHeight="1" x14ac:dyDescent="0.2">
      <c r="A61" s="3"/>
      <c r="B61" s="4"/>
      <c r="C61" s="5"/>
      <c r="D61" s="6" t="str">
        <f>IF(C61&lt;=0,"",VLOOKUP(C61,#REF!,2,0))</f>
        <v/>
      </c>
      <c r="E61" s="5"/>
      <c r="F61" s="7"/>
      <c r="G61" s="8"/>
      <c r="H61" s="9" t="str">
        <f>IF(G61&lt;=0,"",VLOOKUP(G61,#REF!,2,0))</f>
        <v/>
      </c>
      <c r="I61" s="10"/>
      <c r="J61" s="10"/>
      <c r="K61" s="10"/>
      <c r="L61" s="10"/>
      <c r="M61" s="11"/>
      <c r="N61" s="12"/>
      <c r="O61" s="12"/>
      <c r="P61" s="8"/>
    </row>
    <row r="62" spans="1:16" ht="37.5" customHeight="1" x14ac:dyDescent="0.2">
      <c r="A62" s="3"/>
      <c r="B62" s="4"/>
      <c r="C62" s="5"/>
      <c r="D62" s="6" t="str">
        <f>IF(C62&lt;=0,"",VLOOKUP(C62,#REF!,2,0))</f>
        <v/>
      </c>
      <c r="E62" s="5"/>
      <c r="F62" s="7"/>
      <c r="G62" s="8"/>
      <c r="H62" s="9" t="str">
        <f>IF(G62&lt;=0,"",VLOOKUP(G62,#REF!,2,0))</f>
        <v/>
      </c>
      <c r="I62" s="10"/>
      <c r="J62" s="10"/>
      <c r="K62" s="10"/>
      <c r="L62" s="10"/>
      <c r="M62" s="11"/>
      <c r="N62" s="12"/>
      <c r="O62" s="12"/>
      <c r="P62" s="8"/>
    </row>
    <row r="63" spans="1:16" ht="37.5" customHeight="1" x14ac:dyDescent="0.2">
      <c r="A63" s="3"/>
      <c r="B63" s="4"/>
      <c r="C63" s="5"/>
      <c r="D63" s="6" t="str">
        <f>IF(C63&lt;=0,"",VLOOKUP(C63,#REF!,2,0))</f>
        <v/>
      </c>
      <c r="E63" s="5"/>
      <c r="F63" s="7"/>
      <c r="G63" s="8"/>
      <c r="H63" s="9" t="str">
        <f>IF(G63&lt;=0,"",VLOOKUP(G63,#REF!,2,0))</f>
        <v/>
      </c>
      <c r="I63" s="10"/>
      <c r="J63" s="10"/>
      <c r="K63" s="10"/>
      <c r="L63" s="10"/>
      <c r="M63" s="11"/>
      <c r="N63" s="12"/>
      <c r="O63" s="12"/>
      <c r="P63" s="8"/>
    </row>
    <row r="64" spans="1:16" ht="37.5" customHeight="1" x14ac:dyDescent="0.2">
      <c r="A64" s="3"/>
      <c r="B64" s="4"/>
      <c r="C64" s="5"/>
      <c r="D64" s="6" t="str">
        <f>IF(C64&lt;=0,"",VLOOKUP(C64,#REF!,2,0))</f>
        <v/>
      </c>
      <c r="E64" s="5"/>
      <c r="F64" s="7"/>
      <c r="G64" s="8"/>
      <c r="H64" s="9" t="str">
        <f>IF(G64&lt;=0,"",VLOOKUP(G64,#REF!,2,0))</f>
        <v/>
      </c>
      <c r="I64" s="10"/>
      <c r="J64" s="10"/>
      <c r="K64" s="10"/>
      <c r="L64" s="10"/>
      <c r="M64" s="11"/>
      <c r="N64" s="12"/>
      <c r="O64" s="12"/>
      <c r="P64" s="8"/>
    </row>
    <row r="65" spans="1:16" ht="37.5" customHeight="1" x14ac:dyDescent="0.2">
      <c r="A65" s="3"/>
      <c r="B65" s="4"/>
      <c r="C65" s="5"/>
      <c r="D65" s="6" t="str">
        <f>IF(C65&lt;=0,"",VLOOKUP(C65,#REF!,2,0))</f>
        <v/>
      </c>
      <c r="E65" s="5"/>
      <c r="F65" s="7"/>
      <c r="G65" s="8"/>
      <c r="H65" s="9" t="str">
        <f>IF(G65&lt;=0,"",VLOOKUP(G65,#REF!,2,0))</f>
        <v/>
      </c>
      <c r="I65" s="10"/>
      <c r="J65" s="10"/>
      <c r="K65" s="10"/>
      <c r="L65" s="10"/>
      <c r="M65" s="11"/>
      <c r="N65" s="12"/>
      <c r="O65" s="12"/>
      <c r="P65" s="8"/>
    </row>
    <row r="66" spans="1:16" ht="37.5" customHeight="1" x14ac:dyDescent="0.2">
      <c r="A66" s="3"/>
      <c r="B66" s="4"/>
      <c r="C66" s="5"/>
      <c r="D66" s="6" t="str">
        <f>IF(C66&lt;=0,"",VLOOKUP(C66,#REF!,2,0))</f>
        <v/>
      </c>
      <c r="E66" s="5"/>
      <c r="F66" s="7"/>
      <c r="G66" s="8"/>
      <c r="H66" s="9" t="str">
        <f>IF(G66&lt;=0,"",VLOOKUP(G66,#REF!,2,0))</f>
        <v/>
      </c>
      <c r="I66" s="10"/>
      <c r="J66" s="10"/>
      <c r="K66" s="10"/>
      <c r="L66" s="10"/>
      <c r="M66" s="11"/>
      <c r="N66" s="12"/>
      <c r="O66" s="12"/>
      <c r="P66" s="8"/>
    </row>
    <row r="67" spans="1:16" ht="37.5" customHeight="1" x14ac:dyDescent="0.2">
      <c r="A67" s="3"/>
      <c r="B67" s="4"/>
      <c r="C67" s="5"/>
      <c r="D67" s="6" t="str">
        <f>IF(C67&lt;=0,"",VLOOKUP(C67,#REF!,2,0))</f>
        <v/>
      </c>
      <c r="E67" s="5"/>
      <c r="F67" s="7"/>
      <c r="G67" s="8"/>
      <c r="H67" s="9" t="str">
        <f>IF(G67&lt;=0,"",VLOOKUP(G67,#REF!,2,0))</f>
        <v/>
      </c>
      <c r="I67" s="10"/>
      <c r="J67" s="10"/>
      <c r="K67" s="10"/>
      <c r="L67" s="10"/>
      <c r="M67" s="11"/>
      <c r="N67" s="12"/>
      <c r="O67" s="12"/>
      <c r="P67" s="8"/>
    </row>
    <row r="68" spans="1:16" ht="37.5" customHeight="1" x14ac:dyDescent="0.2">
      <c r="A68" s="3"/>
      <c r="B68" s="4"/>
      <c r="C68" s="5"/>
      <c r="D68" s="6" t="str">
        <f>IF(C68&lt;=0,"",VLOOKUP(C68,#REF!,2,0))</f>
        <v/>
      </c>
      <c r="E68" s="5"/>
      <c r="F68" s="7"/>
      <c r="G68" s="8"/>
      <c r="H68" s="9" t="str">
        <f>IF(G68&lt;=0,"",VLOOKUP(G68,#REF!,2,0))</f>
        <v/>
      </c>
      <c r="I68" s="10"/>
      <c r="J68" s="10"/>
      <c r="K68" s="10"/>
      <c r="L68" s="10"/>
      <c r="M68" s="11"/>
      <c r="N68" s="12"/>
      <c r="O68" s="12"/>
      <c r="P68" s="8"/>
    </row>
    <row r="69" spans="1:16" ht="37.5" customHeight="1" x14ac:dyDescent="0.2">
      <c r="A69" s="3"/>
      <c r="B69" s="4"/>
      <c r="C69" s="5"/>
      <c r="D69" s="6" t="str">
        <f>IF(C69&lt;=0,"",VLOOKUP(C69,#REF!,2,0))</f>
        <v/>
      </c>
      <c r="E69" s="5"/>
      <c r="F69" s="7"/>
      <c r="G69" s="8"/>
      <c r="H69" s="9" t="str">
        <f>IF(G69&lt;=0,"",VLOOKUP(G69,#REF!,2,0))</f>
        <v/>
      </c>
      <c r="I69" s="10"/>
      <c r="J69" s="10"/>
      <c r="K69" s="10"/>
      <c r="L69" s="10"/>
      <c r="M69" s="11"/>
      <c r="N69" s="12"/>
      <c r="O69" s="12"/>
      <c r="P69" s="8"/>
    </row>
    <row r="70" spans="1:16" ht="37.5" customHeight="1" x14ac:dyDescent="0.2">
      <c r="A70" s="3"/>
      <c r="B70" s="4"/>
      <c r="C70" s="5"/>
      <c r="D70" s="6" t="str">
        <f>IF(C70&lt;=0,"",VLOOKUP(C70,#REF!,2,0))</f>
        <v/>
      </c>
      <c r="E70" s="5"/>
      <c r="F70" s="7"/>
      <c r="G70" s="8"/>
      <c r="H70" s="9" t="str">
        <f>IF(G70&lt;=0,"",VLOOKUP(G70,#REF!,2,0))</f>
        <v/>
      </c>
      <c r="I70" s="10"/>
      <c r="J70" s="10"/>
      <c r="K70" s="10"/>
      <c r="L70" s="10"/>
      <c r="M70" s="11"/>
      <c r="N70" s="12"/>
      <c r="O70" s="12"/>
      <c r="P70" s="8"/>
    </row>
    <row r="71" spans="1:16" ht="37.5" customHeight="1" x14ac:dyDescent="0.2">
      <c r="A71" s="3"/>
      <c r="B71" s="4"/>
      <c r="C71" s="5"/>
      <c r="D71" s="6" t="str">
        <f>IF(C71&lt;=0,"",VLOOKUP(C71,#REF!,2,0))</f>
        <v/>
      </c>
      <c r="E71" s="5"/>
      <c r="F71" s="7"/>
      <c r="G71" s="8"/>
      <c r="H71" s="9" t="str">
        <f>IF(G71&lt;=0,"",VLOOKUP(G71,#REF!,2,0))</f>
        <v/>
      </c>
      <c r="I71" s="10"/>
      <c r="J71" s="10"/>
      <c r="K71" s="10"/>
      <c r="L71" s="10"/>
      <c r="M71" s="11"/>
      <c r="N71" s="12"/>
      <c r="O71" s="12"/>
      <c r="P71" s="8"/>
    </row>
    <row r="72" spans="1:16" ht="37.5" customHeight="1" x14ac:dyDescent="0.2">
      <c r="A72" s="3"/>
      <c r="B72" s="4"/>
      <c r="C72" s="5"/>
      <c r="D72" s="6" t="str">
        <f>IF(C72&lt;=0,"",VLOOKUP(C72,#REF!,2,0))</f>
        <v/>
      </c>
      <c r="E72" s="5"/>
      <c r="F72" s="7"/>
      <c r="G72" s="8"/>
      <c r="H72" s="9" t="str">
        <f>IF(G72&lt;=0,"",VLOOKUP(G72,#REF!,2,0))</f>
        <v/>
      </c>
      <c r="I72" s="10"/>
      <c r="J72" s="10"/>
      <c r="K72" s="10"/>
      <c r="L72" s="10"/>
      <c r="M72" s="11"/>
      <c r="N72" s="12"/>
      <c r="O72" s="12"/>
      <c r="P72" s="8"/>
    </row>
    <row r="73" spans="1:16" ht="37.5" customHeight="1" x14ac:dyDescent="0.2">
      <c r="A73" s="3"/>
      <c r="B73" s="4"/>
      <c r="C73" s="5"/>
      <c r="D73" s="6" t="str">
        <f>IF(C73&lt;=0,"",VLOOKUP(C73,#REF!,2,0))</f>
        <v/>
      </c>
      <c r="E73" s="5"/>
      <c r="F73" s="7"/>
      <c r="G73" s="8"/>
      <c r="H73" s="9" t="str">
        <f>IF(G73&lt;=0,"",VLOOKUP(G73,#REF!,2,0))</f>
        <v/>
      </c>
      <c r="I73" s="10"/>
      <c r="J73" s="10"/>
      <c r="K73" s="10"/>
      <c r="L73" s="10"/>
      <c r="M73" s="11"/>
      <c r="N73" s="12"/>
      <c r="O73" s="12"/>
      <c r="P73" s="8"/>
    </row>
    <row r="74" spans="1:16" ht="37.5" customHeight="1" x14ac:dyDescent="0.2">
      <c r="A74" s="3"/>
      <c r="B74" s="4"/>
      <c r="C74" s="5"/>
      <c r="D74" s="6" t="str">
        <f>IF(C74&lt;=0,"",VLOOKUP(C74,#REF!,2,0))</f>
        <v/>
      </c>
      <c r="E74" s="5"/>
      <c r="F74" s="7"/>
      <c r="G74" s="8"/>
      <c r="H74" s="9" t="str">
        <f>IF(G74&lt;=0,"",VLOOKUP(G74,#REF!,2,0))</f>
        <v/>
      </c>
      <c r="I74" s="10"/>
      <c r="J74" s="10"/>
      <c r="K74" s="10"/>
      <c r="L74" s="10"/>
      <c r="M74" s="11"/>
      <c r="N74" s="12"/>
      <c r="O74" s="12"/>
      <c r="P74" s="8"/>
    </row>
    <row r="75" spans="1:16" ht="37.5" customHeight="1" x14ac:dyDescent="0.2">
      <c r="A75" s="3"/>
      <c r="B75" s="4"/>
      <c r="C75" s="5"/>
      <c r="D75" s="6" t="str">
        <f>IF(C75&lt;=0,"",VLOOKUP(C75,#REF!,2,0))</f>
        <v/>
      </c>
      <c r="E75" s="5"/>
      <c r="F75" s="7"/>
      <c r="G75" s="8"/>
      <c r="H75" s="9" t="str">
        <f>IF(G75&lt;=0,"",VLOOKUP(G75,#REF!,2,0))</f>
        <v/>
      </c>
      <c r="I75" s="10"/>
      <c r="J75" s="10"/>
      <c r="K75" s="10"/>
      <c r="L75" s="10"/>
      <c r="M75" s="11"/>
      <c r="N75" s="12"/>
      <c r="O75" s="12"/>
      <c r="P75" s="8"/>
    </row>
    <row r="76" spans="1:16" ht="37.5" customHeight="1" x14ac:dyDescent="0.2">
      <c r="A76" s="3"/>
      <c r="B76" s="4"/>
      <c r="C76" s="5"/>
      <c r="D76" s="6" t="str">
        <f>IF(C76&lt;=0,"",VLOOKUP(C76,#REF!,2,0))</f>
        <v/>
      </c>
      <c r="E76" s="5"/>
      <c r="F76" s="7"/>
      <c r="G76" s="8"/>
      <c r="H76" s="9" t="str">
        <f>IF(G76&lt;=0,"",VLOOKUP(G76,#REF!,2,0))</f>
        <v/>
      </c>
      <c r="I76" s="10"/>
      <c r="J76" s="10"/>
      <c r="K76" s="10"/>
      <c r="L76" s="10"/>
      <c r="M76" s="11"/>
      <c r="N76" s="12"/>
      <c r="O76" s="12"/>
      <c r="P76" s="8"/>
    </row>
    <row r="77" spans="1:16" ht="37.5" customHeight="1" x14ac:dyDescent="0.2">
      <c r="A77" s="3"/>
      <c r="B77" s="4"/>
      <c r="C77" s="5"/>
      <c r="D77" s="6" t="str">
        <f>IF(C77&lt;=0,"",VLOOKUP(C77,#REF!,2,0))</f>
        <v/>
      </c>
      <c r="E77" s="5"/>
      <c r="F77" s="7"/>
      <c r="G77" s="8"/>
      <c r="H77" s="9" t="str">
        <f>IF(G77&lt;=0,"",VLOOKUP(G77,#REF!,2,0))</f>
        <v/>
      </c>
      <c r="I77" s="10"/>
      <c r="J77" s="10"/>
      <c r="K77" s="10"/>
      <c r="L77" s="10"/>
      <c r="M77" s="11"/>
      <c r="N77" s="12"/>
      <c r="O77" s="12"/>
      <c r="P77" s="8"/>
    </row>
    <row r="78" spans="1:16" ht="37.5" customHeight="1" x14ac:dyDescent="0.2">
      <c r="A78" s="3"/>
      <c r="B78" s="4"/>
      <c r="C78" s="5"/>
      <c r="D78" s="6" t="str">
        <f>IF(C78&lt;=0,"",VLOOKUP(C78,#REF!,2,0))</f>
        <v/>
      </c>
      <c r="E78" s="5"/>
      <c r="F78" s="7"/>
      <c r="G78" s="8"/>
      <c r="H78" s="9" t="str">
        <f>IF(G78&lt;=0,"",VLOOKUP(G78,#REF!,2,0))</f>
        <v/>
      </c>
      <c r="I78" s="10"/>
      <c r="J78" s="10"/>
      <c r="K78" s="10"/>
      <c r="L78" s="10"/>
      <c r="M78" s="11"/>
      <c r="N78" s="12"/>
      <c r="O78" s="12"/>
      <c r="P78" s="8"/>
    </row>
    <row r="79" spans="1:16" ht="37.5" customHeight="1" x14ac:dyDescent="0.2">
      <c r="A79" s="3"/>
      <c r="B79" s="4"/>
      <c r="C79" s="5"/>
      <c r="D79" s="6" t="str">
        <f>IF(C79&lt;=0,"",VLOOKUP(C79,#REF!,2,0))</f>
        <v/>
      </c>
      <c r="E79" s="5"/>
      <c r="F79" s="7"/>
      <c r="G79" s="8"/>
      <c r="H79" s="9" t="str">
        <f>IF(G79&lt;=0,"",VLOOKUP(G79,#REF!,2,0))</f>
        <v/>
      </c>
      <c r="I79" s="10"/>
      <c r="J79" s="10"/>
      <c r="K79" s="10"/>
      <c r="L79" s="10"/>
      <c r="M79" s="11"/>
      <c r="N79" s="12"/>
      <c r="O79" s="12"/>
      <c r="P79" s="8"/>
    </row>
    <row r="80" spans="1:16" ht="37.5" customHeight="1" x14ac:dyDescent="0.2">
      <c r="A80" s="3"/>
      <c r="B80" s="4"/>
      <c r="C80" s="5"/>
      <c r="D80" s="6" t="str">
        <f>IF(C80&lt;=0,"",VLOOKUP(C80,#REF!,2,0))</f>
        <v/>
      </c>
      <c r="E80" s="5"/>
      <c r="F80" s="7"/>
      <c r="G80" s="8"/>
      <c r="H80" s="9" t="str">
        <f>IF(G80&lt;=0,"",VLOOKUP(G80,#REF!,2,0))</f>
        <v/>
      </c>
      <c r="I80" s="10"/>
      <c r="J80" s="10"/>
      <c r="K80" s="10"/>
      <c r="L80" s="10"/>
      <c r="M80" s="11"/>
      <c r="N80" s="12"/>
      <c r="O80" s="12"/>
      <c r="P80" s="8"/>
    </row>
    <row r="81" spans="1:16" ht="37.5" customHeight="1" x14ac:dyDescent="0.2">
      <c r="A81" s="3"/>
      <c r="B81" s="4"/>
      <c r="C81" s="5"/>
      <c r="D81" s="6" t="str">
        <f>IF(C81&lt;=0,"",VLOOKUP(C81,#REF!,2,0))</f>
        <v/>
      </c>
      <c r="E81" s="5"/>
      <c r="F81" s="7"/>
      <c r="G81" s="8"/>
      <c r="H81" s="9" t="str">
        <f>IF(G81&lt;=0,"",VLOOKUP(G81,#REF!,2,0))</f>
        <v/>
      </c>
      <c r="I81" s="10"/>
      <c r="J81" s="10"/>
      <c r="K81" s="10"/>
      <c r="L81" s="10"/>
      <c r="M81" s="11"/>
      <c r="N81" s="12"/>
      <c r="O81" s="12"/>
      <c r="P81" s="8"/>
    </row>
    <row r="82" spans="1:16" ht="37.5" customHeight="1" x14ac:dyDescent="0.2">
      <c r="A82" s="3"/>
      <c r="B82" s="4"/>
      <c r="C82" s="5"/>
      <c r="D82" s="6" t="str">
        <f>IF(C82&lt;=0,"",VLOOKUP(C82,#REF!,2,0))</f>
        <v/>
      </c>
      <c r="E82" s="5"/>
      <c r="F82" s="7"/>
      <c r="G82" s="8"/>
      <c r="H82" s="9" t="str">
        <f>IF(G82&lt;=0,"",VLOOKUP(G82,#REF!,2,0))</f>
        <v/>
      </c>
      <c r="I82" s="10"/>
      <c r="J82" s="10"/>
      <c r="K82" s="10"/>
      <c r="L82" s="10"/>
      <c r="M82" s="11"/>
      <c r="N82" s="12"/>
      <c r="O82" s="12"/>
      <c r="P82" s="8"/>
    </row>
    <row r="83" spans="1:16" ht="37.5" customHeight="1" x14ac:dyDescent="0.2">
      <c r="A83" s="3"/>
      <c r="B83" s="4"/>
      <c r="C83" s="5"/>
      <c r="D83" s="6" t="str">
        <f>IF(C83&lt;=0,"",VLOOKUP(C83,#REF!,2,0))</f>
        <v/>
      </c>
      <c r="E83" s="5"/>
      <c r="F83" s="7"/>
      <c r="G83" s="8"/>
      <c r="H83" s="9" t="str">
        <f>IF(G83&lt;=0,"",VLOOKUP(G83,#REF!,2,0))</f>
        <v/>
      </c>
      <c r="I83" s="10"/>
      <c r="J83" s="10"/>
      <c r="K83" s="10"/>
      <c r="L83" s="10"/>
      <c r="M83" s="11"/>
      <c r="N83" s="12"/>
      <c r="O83" s="12"/>
      <c r="P83" s="8"/>
    </row>
    <row r="84" spans="1:16" ht="37.5" customHeight="1" x14ac:dyDescent="0.2">
      <c r="A84" s="3"/>
      <c r="B84" s="4"/>
      <c r="C84" s="5"/>
      <c r="D84" s="6" t="str">
        <f>IF(C84&lt;=0,"",VLOOKUP(C84,#REF!,2,0))</f>
        <v/>
      </c>
      <c r="E84" s="5"/>
      <c r="F84" s="7"/>
      <c r="G84" s="8"/>
      <c r="H84" s="9" t="str">
        <f>IF(G84&lt;=0,"",VLOOKUP(G84,#REF!,2,0))</f>
        <v/>
      </c>
      <c r="I84" s="10"/>
      <c r="J84" s="10"/>
      <c r="K84" s="10"/>
      <c r="L84" s="10"/>
      <c r="M84" s="11"/>
      <c r="N84" s="12"/>
      <c r="O84" s="12"/>
      <c r="P84" s="8"/>
    </row>
    <row r="85" spans="1:16" ht="37.5" customHeight="1" x14ac:dyDescent="0.2">
      <c r="A85" s="3"/>
      <c r="B85" s="4"/>
      <c r="C85" s="5"/>
      <c r="D85" s="6" t="str">
        <f>IF(C85&lt;=0,"",VLOOKUP(C85,#REF!,2,0))</f>
        <v/>
      </c>
      <c r="E85" s="5"/>
      <c r="F85" s="7"/>
      <c r="G85" s="8"/>
      <c r="H85" s="9" t="str">
        <f>IF(G85&lt;=0,"",VLOOKUP(G85,#REF!,2,0))</f>
        <v/>
      </c>
      <c r="I85" s="10"/>
      <c r="J85" s="10"/>
      <c r="K85" s="10"/>
      <c r="L85" s="10"/>
      <c r="M85" s="11"/>
      <c r="N85" s="12"/>
      <c r="O85" s="12"/>
      <c r="P85" s="8"/>
    </row>
    <row r="86" spans="1:16" ht="37.5" customHeight="1" x14ac:dyDescent="0.2">
      <c r="A86" s="3"/>
      <c r="B86" s="4"/>
      <c r="C86" s="5"/>
      <c r="D86" s="6" t="str">
        <f>IF(C86&lt;=0,"",VLOOKUP(C86,#REF!,2,0))</f>
        <v/>
      </c>
      <c r="E86" s="5"/>
      <c r="F86" s="7"/>
      <c r="G86" s="8"/>
      <c r="H86" s="9" t="str">
        <f>IF(G86&lt;=0,"",VLOOKUP(G86,#REF!,2,0))</f>
        <v/>
      </c>
      <c r="I86" s="10"/>
      <c r="J86" s="10"/>
      <c r="K86" s="10"/>
      <c r="L86" s="10"/>
      <c r="M86" s="11"/>
      <c r="N86" s="12"/>
      <c r="O86" s="12"/>
      <c r="P86" s="8"/>
    </row>
    <row r="87" spans="1:16" ht="37.5" customHeight="1" x14ac:dyDescent="0.2">
      <c r="A87" s="3"/>
      <c r="B87" s="4"/>
      <c r="C87" s="5"/>
      <c r="D87" s="6" t="str">
        <f>IF(C87&lt;=0,"",VLOOKUP(C87,#REF!,2,0))</f>
        <v/>
      </c>
      <c r="E87" s="5"/>
      <c r="F87" s="7"/>
      <c r="G87" s="8"/>
      <c r="H87" s="9" t="str">
        <f>IF(G87&lt;=0,"",VLOOKUP(G87,#REF!,2,0))</f>
        <v/>
      </c>
      <c r="I87" s="10"/>
      <c r="J87" s="10"/>
      <c r="K87" s="10"/>
      <c r="L87" s="10"/>
      <c r="M87" s="11"/>
      <c r="N87" s="12"/>
      <c r="O87" s="12"/>
      <c r="P87" s="8"/>
    </row>
    <row r="88" spans="1:16" ht="37.5" customHeight="1" x14ac:dyDescent="0.2">
      <c r="A88" s="3"/>
      <c r="B88" s="4"/>
      <c r="C88" s="5"/>
      <c r="D88" s="6" t="str">
        <f>IF(C88&lt;=0,"",VLOOKUP(C88,#REF!,2,0))</f>
        <v/>
      </c>
      <c r="E88" s="5"/>
      <c r="F88" s="7"/>
      <c r="G88" s="8"/>
      <c r="H88" s="9" t="str">
        <f>IF(G88&lt;=0,"",VLOOKUP(G88,#REF!,2,0))</f>
        <v/>
      </c>
      <c r="I88" s="10"/>
      <c r="J88" s="10"/>
      <c r="K88" s="10"/>
      <c r="L88" s="10"/>
      <c r="M88" s="11"/>
      <c r="N88" s="12"/>
      <c r="O88" s="12"/>
      <c r="P88" s="8"/>
    </row>
    <row r="89" spans="1:16" ht="37.5" customHeight="1" x14ac:dyDescent="0.2">
      <c r="A89" s="3"/>
      <c r="B89" s="4"/>
      <c r="C89" s="5"/>
      <c r="D89" s="6" t="str">
        <f>IF(C89&lt;=0,"",VLOOKUP(C89,#REF!,2,0))</f>
        <v/>
      </c>
      <c r="E89" s="5"/>
      <c r="F89" s="7"/>
      <c r="G89" s="8"/>
      <c r="H89" s="9" t="str">
        <f>IF(G89&lt;=0,"",VLOOKUP(G89,#REF!,2,0))</f>
        <v/>
      </c>
      <c r="I89" s="10"/>
      <c r="J89" s="10"/>
      <c r="K89" s="10"/>
      <c r="L89" s="10"/>
      <c r="M89" s="11"/>
      <c r="N89" s="12"/>
      <c r="O89" s="12"/>
      <c r="P89" s="8"/>
    </row>
    <row r="90" spans="1:16" ht="37.5" customHeight="1" x14ac:dyDescent="0.2">
      <c r="A90" s="3"/>
      <c r="B90" s="4"/>
      <c r="C90" s="5"/>
      <c r="D90" s="6" t="str">
        <f>IF(C90&lt;=0,"",VLOOKUP(C90,#REF!,2,0))</f>
        <v/>
      </c>
      <c r="E90" s="5"/>
      <c r="F90" s="7"/>
      <c r="G90" s="8"/>
      <c r="H90" s="9" t="str">
        <f>IF(G90&lt;=0,"",VLOOKUP(G90,#REF!,2,0))</f>
        <v/>
      </c>
      <c r="I90" s="10"/>
      <c r="J90" s="10"/>
      <c r="K90" s="10"/>
      <c r="L90" s="10"/>
      <c r="M90" s="11"/>
      <c r="N90" s="12"/>
      <c r="O90" s="12"/>
      <c r="P90" s="8"/>
    </row>
    <row r="91" spans="1:16" ht="37.5" customHeight="1" x14ac:dyDescent="0.2">
      <c r="A91" s="3"/>
      <c r="B91" s="4"/>
      <c r="C91" s="5"/>
      <c r="D91" s="6" t="str">
        <f>IF(C91&lt;=0,"",VLOOKUP(C91,#REF!,2,0))</f>
        <v/>
      </c>
      <c r="E91" s="5"/>
      <c r="F91" s="7"/>
      <c r="G91" s="8"/>
      <c r="H91" s="9" t="str">
        <f>IF(G91&lt;=0,"",VLOOKUP(G91,#REF!,2,0))</f>
        <v/>
      </c>
      <c r="I91" s="10"/>
      <c r="J91" s="10"/>
      <c r="K91" s="10"/>
      <c r="L91" s="10"/>
      <c r="M91" s="11"/>
      <c r="N91" s="12"/>
      <c r="O91" s="12"/>
      <c r="P91" s="8"/>
    </row>
    <row r="92" spans="1:16" ht="37.5" customHeight="1" x14ac:dyDescent="0.2">
      <c r="A92" s="3"/>
      <c r="B92" s="4"/>
      <c r="C92" s="5"/>
      <c r="D92" s="6" t="str">
        <f>IF(C92&lt;=0,"",VLOOKUP(C92,#REF!,2,0))</f>
        <v/>
      </c>
      <c r="E92" s="5"/>
      <c r="F92" s="7"/>
      <c r="G92" s="8"/>
      <c r="H92" s="9" t="str">
        <f>IF(G92&lt;=0,"",VLOOKUP(G92,#REF!,2,0))</f>
        <v/>
      </c>
      <c r="I92" s="10"/>
      <c r="J92" s="10"/>
      <c r="K92" s="10"/>
      <c r="L92" s="10"/>
      <c r="M92" s="11"/>
      <c r="N92" s="12"/>
      <c r="O92" s="12"/>
      <c r="P92" s="8"/>
    </row>
    <row r="93" spans="1:16" ht="37.5" customHeight="1" x14ac:dyDescent="0.2">
      <c r="A93" s="3"/>
      <c r="B93" s="4"/>
      <c r="C93" s="5"/>
      <c r="D93" s="6" t="str">
        <f>IF(C93&lt;=0,"",VLOOKUP(C93,#REF!,2,0))</f>
        <v/>
      </c>
      <c r="E93" s="5"/>
      <c r="F93" s="7"/>
      <c r="G93" s="8"/>
      <c r="H93" s="9" t="str">
        <f>IF(G93&lt;=0,"",VLOOKUP(G93,#REF!,2,0))</f>
        <v/>
      </c>
      <c r="I93" s="10"/>
      <c r="J93" s="10"/>
      <c r="K93" s="10"/>
      <c r="L93" s="10"/>
      <c r="M93" s="11"/>
      <c r="N93" s="12"/>
      <c r="O93" s="12"/>
      <c r="P93" s="8"/>
    </row>
    <row r="94" spans="1:16" ht="37.5" customHeight="1" x14ac:dyDescent="0.2">
      <c r="A94" s="3"/>
      <c r="B94" s="4"/>
      <c r="C94" s="5"/>
      <c r="D94" s="6" t="str">
        <f>IF(C94&lt;=0,"",VLOOKUP(C94,#REF!,2,0))</f>
        <v/>
      </c>
      <c r="E94" s="5"/>
      <c r="F94" s="7"/>
      <c r="G94" s="8"/>
      <c r="H94" s="9" t="str">
        <f>IF(G94&lt;=0,"",VLOOKUP(G94,#REF!,2,0))</f>
        <v/>
      </c>
      <c r="I94" s="10"/>
      <c r="J94" s="10"/>
      <c r="K94" s="10"/>
      <c r="L94" s="10"/>
      <c r="M94" s="11"/>
      <c r="N94" s="12"/>
      <c r="O94" s="12"/>
      <c r="P94" s="8"/>
    </row>
    <row r="95" spans="1:16" ht="37.5" customHeight="1" x14ac:dyDescent="0.2">
      <c r="A95" s="3"/>
      <c r="B95" s="4"/>
      <c r="C95" s="5"/>
      <c r="D95" s="6" t="str">
        <f>IF(C95&lt;=0,"",VLOOKUP(C95,#REF!,2,0))</f>
        <v/>
      </c>
      <c r="E95" s="5"/>
      <c r="F95" s="7"/>
      <c r="G95" s="8"/>
      <c r="H95" s="9" t="str">
        <f>IF(G95&lt;=0,"",VLOOKUP(G95,#REF!,2,0))</f>
        <v/>
      </c>
      <c r="I95" s="10"/>
      <c r="J95" s="10"/>
      <c r="K95" s="10"/>
      <c r="L95" s="10"/>
      <c r="M95" s="11"/>
      <c r="N95" s="12"/>
      <c r="O95" s="12"/>
      <c r="P95" s="8"/>
    </row>
    <row r="96" spans="1:16" ht="37.5" customHeight="1" x14ac:dyDescent="0.2">
      <c r="A96" s="3"/>
      <c r="B96" s="4"/>
      <c r="C96" s="5"/>
      <c r="D96" s="6" t="str">
        <f>IF(C96&lt;=0,"",VLOOKUP(C96,#REF!,2,0))</f>
        <v/>
      </c>
      <c r="E96" s="5"/>
      <c r="F96" s="7"/>
      <c r="G96" s="8"/>
      <c r="H96" s="9" t="str">
        <f>IF(G96&lt;=0,"",VLOOKUP(G96,#REF!,2,0))</f>
        <v/>
      </c>
      <c r="I96" s="10"/>
      <c r="J96" s="10"/>
      <c r="K96" s="10"/>
      <c r="L96" s="10"/>
      <c r="M96" s="11"/>
      <c r="N96" s="12"/>
      <c r="O96" s="12"/>
      <c r="P96" s="8"/>
    </row>
    <row r="97" spans="1:16" ht="37.5" customHeight="1" x14ac:dyDescent="0.2">
      <c r="A97" s="3"/>
      <c r="B97" s="4"/>
      <c r="C97" s="5"/>
      <c r="D97" s="6" t="str">
        <f>IF(C97&lt;=0,"",VLOOKUP(C97,#REF!,2,0))</f>
        <v/>
      </c>
      <c r="E97" s="5"/>
      <c r="F97" s="7"/>
      <c r="G97" s="8"/>
      <c r="H97" s="9" t="str">
        <f>IF(G97&lt;=0,"",VLOOKUP(G97,#REF!,2,0))</f>
        <v/>
      </c>
      <c r="I97" s="10"/>
      <c r="J97" s="10"/>
      <c r="K97" s="10"/>
      <c r="L97" s="10"/>
      <c r="M97" s="11"/>
      <c r="N97" s="12"/>
      <c r="O97" s="12"/>
      <c r="P97" s="8"/>
    </row>
    <row r="98" spans="1:16" ht="37.5" customHeight="1" x14ac:dyDescent="0.2">
      <c r="A98" s="3"/>
      <c r="B98" s="4"/>
      <c r="C98" s="5"/>
      <c r="D98" s="6" t="str">
        <f>IF(C98&lt;=0,"",VLOOKUP(C98,#REF!,2,0))</f>
        <v/>
      </c>
      <c r="E98" s="5"/>
      <c r="F98" s="7"/>
      <c r="G98" s="8"/>
      <c r="H98" s="9" t="str">
        <f>IF(G98&lt;=0,"",VLOOKUP(G98,#REF!,2,0))</f>
        <v/>
      </c>
      <c r="I98" s="10"/>
      <c r="J98" s="10"/>
      <c r="K98" s="10"/>
      <c r="L98" s="10"/>
      <c r="M98" s="11"/>
      <c r="N98" s="12"/>
      <c r="O98" s="12"/>
      <c r="P98" s="8"/>
    </row>
    <row r="99" spans="1:16" ht="37.5" customHeight="1" x14ac:dyDescent="0.2">
      <c r="A99" s="3"/>
      <c r="B99" s="4"/>
      <c r="C99" s="5"/>
      <c r="D99" s="6" t="str">
        <f>IF(C99&lt;=0,"",VLOOKUP(C99,#REF!,2,0))</f>
        <v/>
      </c>
      <c r="E99" s="5"/>
      <c r="F99" s="7"/>
      <c r="G99" s="8"/>
      <c r="H99" s="9" t="str">
        <f>IF(G99&lt;=0,"",VLOOKUP(G99,#REF!,2,0))</f>
        <v/>
      </c>
      <c r="I99" s="10"/>
      <c r="J99" s="10"/>
      <c r="K99" s="10"/>
      <c r="L99" s="10"/>
      <c r="M99" s="11"/>
      <c r="N99" s="12"/>
      <c r="O99" s="12"/>
      <c r="P99" s="8"/>
    </row>
    <row r="100" spans="1:16" ht="37.5" customHeight="1" x14ac:dyDescent="0.2">
      <c r="A100" s="3"/>
      <c r="B100" s="4"/>
      <c r="C100" s="5"/>
      <c r="D100" s="6" t="str">
        <f>IF(C100&lt;=0,"",VLOOKUP(C100,#REF!,2,0))</f>
        <v/>
      </c>
      <c r="E100" s="5"/>
      <c r="F100" s="7"/>
      <c r="G100" s="8"/>
      <c r="H100" s="9" t="str">
        <f>IF(G100&lt;=0,"",VLOOKUP(G100,#REF!,2,0))</f>
        <v/>
      </c>
      <c r="I100" s="10"/>
      <c r="J100" s="10"/>
      <c r="K100" s="10"/>
      <c r="L100" s="10"/>
      <c r="M100" s="11"/>
      <c r="N100" s="12"/>
      <c r="O100" s="12"/>
      <c r="P100" s="8"/>
    </row>
    <row r="101" spans="1:16" ht="37.5" customHeight="1" x14ac:dyDescent="0.2">
      <c r="A101" s="3"/>
      <c r="B101" s="4"/>
      <c r="C101" s="5"/>
      <c r="D101" s="6" t="str">
        <f>IF(C101&lt;=0,"",VLOOKUP(C101,#REF!,2,0))</f>
        <v/>
      </c>
      <c r="E101" s="5"/>
      <c r="F101" s="7"/>
      <c r="G101" s="8"/>
      <c r="H101" s="9" t="str">
        <f>IF(G101&lt;=0,"",VLOOKUP(G101,#REF!,2,0))</f>
        <v/>
      </c>
      <c r="I101" s="10"/>
      <c r="J101" s="10"/>
      <c r="K101" s="10"/>
      <c r="L101" s="10"/>
      <c r="M101" s="11"/>
      <c r="N101" s="12"/>
      <c r="O101" s="12"/>
      <c r="P101" s="8"/>
    </row>
    <row r="102" spans="1:16" ht="37.5" customHeight="1" x14ac:dyDescent="0.2">
      <c r="A102" s="3"/>
      <c r="B102" s="4"/>
      <c r="C102" s="5"/>
      <c r="D102" s="6" t="str">
        <f>IF(C102&lt;=0,"",VLOOKUP(C102,#REF!,2,0))</f>
        <v/>
      </c>
      <c r="E102" s="5"/>
      <c r="F102" s="7"/>
      <c r="G102" s="8"/>
      <c r="H102" s="9" t="str">
        <f>IF(G102&lt;=0,"",VLOOKUP(G102,#REF!,2,0))</f>
        <v/>
      </c>
      <c r="I102" s="10"/>
      <c r="J102" s="10"/>
      <c r="K102" s="10"/>
      <c r="L102" s="10"/>
      <c r="M102" s="11"/>
      <c r="N102" s="12"/>
      <c r="O102" s="12"/>
      <c r="P102" s="8"/>
    </row>
    <row r="103" spans="1:16" ht="37.5" customHeight="1" x14ac:dyDescent="0.2">
      <c r="A103" s="3"/>
      <c r="B103" s="4"/>
      <c r="C103" s="5"/>
      <c r="D103" s="6" t="str">
        <f>IF(C103&lt;=0,"",VLOOKUP(C103,#REF!,2,0))</f>
        <v/>
      </c>
      <c r="E103" s="5"/>
      <c r="F103" s="7"/>
      <c r="G103" s="8"/>
      <c r="H103" s="9" t="str">
        <f>IF(G103&lt;=0,"",VLOOKUP(G103,#REF!,2,0))</f>
        <v/>
      </c>
      <c r="I103" s="10"/>
      <c r="J103" s="10"/>
      <c r="K103" s="10"/>
      <c r="L103" s="10"/>
      <c r="M103" s="11"/>
      <c r="N103" s="12"/>
      <c r="O103" s="12"/>
      <c r="P103" s="8"/>
    </row>
    <row r="104" spans="1:16" ht="37.5" customHeight="1" x14ac:dyDescent="0.2">
      <c r="A104" s="3"/>
      <c r="B104" s="4"/>
      <c r="C104" s="5"/>
      <c r="D104" s="6" t="str">
        <f>IF(C104&lt;=0,"",VLOOKUP(C104,#REF!,2,0))</f>
        <v/>
      </c>
      <c r="E104" s="5"/>
      <c r="F104" s="7"/>
      <c r="G104" s="8"/>
      <c r="H104" s="9" t="str">
        <f>IF(G104&lt;=0,"",VLOOKUP(G104,#REF!,2,0))</f>
        <v/>
      </c>
      <c r="I104" s="10"/>
      <c r="J104" s="10"/>
      <c r="K104" s="10"/>
      <c r="L104" s="10"/>
      <c r="M104" s="11"/>
      <c r="N104" s="12"/>
      <c r="O104" s="12"/>
      <c r="P104" s="8"/>
    </row>
    <row r="105" spans="1:16" ht="37.5" customHeight="1" x14ac:dyDescent="0.2">
      <c r="A105" s="3"/>
      <c r="B105" s="4"/>
      <c r="C105" s="5"/>
      <c r="D105" s="6" t="str">
        <f>IF(C105&lt;=0,"",VLOOKUP(C105,#REF!,2,0))</f>
        <v/>
      </c>
      <c r="E105" s="5"/>
      <c r="F105" s="7"/>
      <c r="G105" s="8"/>
      <c r="H105" s="9" t="str">
        <f>IF(G105&lt;=0,"",VLOOKUP(G105,#REF!,2,0))</f>
        <v/>
      </c>
      <c r="I105" s="10"/>
      <c r="J105" s="10"/>
      <c r="K105" s="10"/>
      <c r="L105" s="10"/>
      <c r="M105" s="11"/>
      <c r="N105" s="12"/>
      <c r="O105" s="12"/>
      <c r="P105" s="8"/>
    </row>
    <row r="106" spans="1:16" ht="37.5" customHeight="1" x14ac:dyDescent="0.2">
      <c r="A106" s="3"/>
      <c r="B106" s="4"/>
      <c r="C106" s="5"/>
      <c r="D106" s="6" t="str">
        <f>IF(C106&lt;=0,"",VLOOKUP(C106,#REF!,2,0))</f>
        <v/>
      </c>
      <c r="E106" s="5"/>
      <c r="F106" s="7"/>
      <c r="G106" s="8"/>
      <c r="H106" s="9" t="str">
        <f>IF(G106&lt;=0,"",VLOOKUP(G106,#REF!,2,0))</f>
        <v/>
      </c>
      <c r="I106" s="10"/>
      <c r="J106" s="10"/>
      <c r="K106" s="10"/>
      <c r="L106" s="10"/>
      <c r="M106" s="11"/>
      <c r="N106" s="12"/>
      <c r="O106" s="12"/>
      <c r="P106" s="8"/>
    </row>
    <row r="107" spans="1:16" ht="37.5" customHeight="1" x14ac:dyDescent="0.2">
      <c r="A107" s="3"/>
      <c r="B107" s="4"/>
      <c r="C107" s="5"/>
      <c r="D107" s="6" t="str">
        <f>IF(C107&lt;=0,"",VLOOKUP(C107,#REF!,2,0))</f>
        <v/>
      </c>
      <c r="E107" s="5"/>
      <c r="F107" s="7"/>
      <c r="G107" s="8"/>
      <c r="H107" s="9" t="str">
        <f>IF(G107&lt;=0,"",VLOOKUP(G107,#REF!,2,0))</f>
        <v/>
      </c>
      <c r="I107" s="10"/>
      <c r="J107" s="10"/>
      <c r="K107" s="10"/>
      <c r="L107" s="10"/>
      <c r="M107" s="11"/>
      <c r="N107" s="12"/>
      <c r="O107" s="12"/>
      <c r="P107" s="8"/>
    </row>
    <row r="108" spans="1:16" ht="37.5" customHeight="1" x14ac:dyDescent="0.2">
      <c r="A108" s="3"/>
      <c r="B108" s="4"/>
      <c r="C108" s="5"/>
      <c r="D108" s="6" t="str">
        <f>IF(C108&lt;=0,"",VLOOKUP(C108,#REF!,2,0))</f>
        <v/>
      </c>
      <c r="E108" s="5"/>
      <c r="F108" s="7"/>
      <c r="G108" s="8"/>
      <c r="H108" s="9" t="str">
        <f>IF(G108&lt;=0,"",VLOOKUP(G108,#REF!,2,0))</f>
        <v/>
      </c>
      <c r="I108" s="10"/>
      <c r="J108" s="10"/>
      <c r="K108" s="10"/>
      <c r="L108" s="10"/>
      <c r="M108" s="11"/>
      <c r="N108" s="12"/>
      <c r="O108" s="12"/>
      <c r="P108" s="8"/>
    </row>
    <row r="109" spans="1:16" ht="37.5" customHeight="1" x14ac:dyDescent="0.2">
      <c r="A109" s="3"/>
      <c r="B109" s="4"/>
      <c r="C109" s="5"/>
      <c r="D109" s="6" t="str">
        <f>IF(C109&lt;=0,"",VLOOKUP(C109,#REF!,2,0))</f>
        <v/>
      </c>
      <c r="E109" s="5"/>
      <c r="F109" s="7"/>
      <c r="G109" s="8"/>
      <c r="H109" s="9" t="str">
        <f>IF(G109&lt;=0,"",VLOOKUP(G109,#REF!,2,0))</f>
        <v/>
      </c>
      <c r="I109" s="10"/>
      <c r="J109" s="10"/>
      <c r="K109" s="10"/>
      <c r="L109" s="10"/>
      <c r="M109" s="11"/>
      <c r="N109" s="12"/>
      <c r="O109" s="12"/>
      <c r="P109" s="8"/>
    </row>
    <row r="110" spans="1:16" ht="37.5" customHeight="1" x14ac:dyDescent="0.2">
      <c r="A110" s="3"/>
      <c r="B110" s="4"/>
      <c r="C110" s="5"/>
      <c r="D110" s="6" t="str">
        <f>IF(C110&lt;=0,"",VLOOKUP(C110,#REF!,2,0))</f>
        <v/>
      </c>
      <c r="E110" s="5"/>
      <c r="F110" s="7"/>
      <c r="G110" s="8"/>
      <c r="H110" s="9" t="str">
        <f>IF(G110&lt;=0,"",VLOOKUP(G110,#REF!,2,0))</f>
        <v/>
      </c>
      <c r="I110" s="10"/>
      <c r="J110" s="10"/>
      <c r="K110" s="10"/>
      <c r="L110" s="10"/>
      <c r="M110" s="11"/>
      <c r="N110" s="12"/>
      <c r="O110" s="12"/>
      <c r="P110" s="8"/>
    </row>
    <row r="111" spans="1:16" ht="37.5" customHeight="1" x14ac:dyDescent="0.2">
      <c r="A111" s="3"/>
      <c r="B111" s="4"/>
      <c r="C111" s="5"/>
      <c r="D111" s="6" t="str">
        <f>IF(C111&lt;=0,"",VLOOKUP(C111,#REF!,2,0))</f>
        <v/>
      </c>
      <c r="E111" s="5"/>
      <c r="F111" s="7"/>
      <c r="G111" s="8"/>
      <c r="H111" s="9" t="str">
        <f>IF(G111&lt;=0,"",VLOOKUP(G111,#REF!,2,0))</f>
        <v/>
      </c>
      <c r="I111" s="10"/>
      <c r="J111" s="10"/>
      <c r="K111" s="10"/>
      <c r="L111" s="10"/>
      <c r="M111" s="11"/>
      <c r="N111" s="12"/>
      <c r="O111" s="12"/>
      <c r="P111" s="8"/>
    </row>
    <row r="112" spans="1:16" ht="37.5" customHeight="1" x14ac:dyDescent="0.2">
      <c r="A112" s="3"/>
      <c r="B112" s="4"/>
      <c r="C112" s="5"/>
      <c r="D112" s="6" t="str">
        <f>IF(C112&lt;=0,"",VLOOKUP(C112,#REF!,2,0))</f>
        <v/>
      </c>
      <c r="E112" s="5"/>
      <c r="F112" s="7"/>
      <c r="G112" s="8"/>
      <c r="H112" s="9" t="str">
        <f>IF(G112&lt;=0,"",VLOOKUP(G112,#REF!,2,0))</f>
        <v/>
      </c>
      <c r="I112" s="10"/>
      <c r="J112" s="10"/>
      <c r="K112" s="10"/>
      <c r="L112" s="10"/>
      <c r="M112" s="11"/>
      <c r="N112" s="12"/>
      <c r="O112" s="12"/>
      <c r="P112" s="8"/>
    </row>
    <row r="113" spans="1:16" ht="37.5" customHeight="1" x14ac:dyDescent="0.2">
      <c r="A113" s="3"/>
      <c r="B113" s="4"/>
      <c r="C113" s="5"/>
      <c r="D113" s="6" t="str">
        <f>IF(C113&lt;=0,"",VLOOKUP(C113,#REF!,2,0))</f>
        <v/>
      </c>
      <c r="E113" s="5"/>
      <c r="F113" s="7"/>
      <c r="G113" s="8"/>
      <c r="H113" s="9" t="str">
        <f>IF(G113&lt;=0,"",VLOOKUP(G113,#REF!,2,0))</f>
        <v/>
      </c>
      <c r="I113" s="10"/>
      <c r="J113" s="10"/>
      <c r="K113" s="10"/>
      <c r="L113" s="10"/>
      <c r="M113" s="11"/>
      <c r="N113" s="12"/>
      <c r="O113" s="12"/>
      <c r="P113" s="8"/>
    </row>
    <row r="114" spans="1:16" ht="37.5" customHeight="1" x14ac:dyDescent="0.2">
      <c r="A114" s="3"/>
      <c r="B114" s="4"/>
      <c r="C114" s="5"/>
      <c r="D114" s="6" t="str">
        <f>IF(C114&lt;=0,"",VLOOKUP(C114,#REF!,2,0))</f>
        <v/>
      </c>
      <c r="E114" s="5"/>
      <c r="F114" s="7"/>
      <c r="G114" s="8"/>
      <c r="H114" s="9" t="str">
        <f>IF(G114&lt;=0,"",VLOOKUP(G114,#REF!,2,0))</f>
        <v/>
      </c>
      <c r="I114" s="10"/>
      <c r="J114" s="10"/>
      <c r="K114" s="10"/>
      <c r="L114" s="10"/>
      <c r="M114" s="11"/>
      <c r="N114" s="12"/>
      <c r="O114" s="12"/>
      <c r="P114" s="8"/>
    </row>
    <row r="115" spans="1:16" ht="37.5" customHeight="1" x14ac:dyDescent="0.2">
      <c r="A115" s="3"/>
      <c r="B115" s="4"/>
      <c r="C115" s="5"/>
      <c r="D115" s="6" t="str">
        <f>IF(C115&lt;=0,"",VLOOKUP(C115,#REF!,2,0))</f>
        <v/>
      </c>
      <c r="E115" s="5"/>
      <c r="F115" s="7"/>
      <c r="G115" s="8"/>
      <c r="H115" s="9" t="str">
        <f>IF(G115&lt;=0,"",VLOOKUP(G115,#REF!,2,0))</f>
        <v/>
      </c>
      <c r="I115" s="10"/>
      <c r="J115" s="10"/>
      <c r="K115" s="10"/>
      <c r="L115" s="10"/>
      <c r="M115" s="11"/>
      <c r="N115" s="12"/>
      <c r="O115" s="12"/>
      <c r="P115" s="8"/>
    </row>
    <row r="116" spans="1:16" ht="37.5" customHeight="1" x14ac:dyDescent="0.2">
      <c r="A116" s="3"/>
      <c r="B116" s="4"/>
      <c r="C116" s="5"/>
      <c r="D116" s="6" t="str">
        <f>IF(C116&lt;=0,"",VLOOKUP(C116,#REF!,2,0))</f>
        <v/>
      </c>
      <c r="E116" s="5"/>
      <c r="F116" s="7"/>
      <c r="G116" s="8"/>
      <c r="H116" s="9" t="str">
        <f>IF(G116&lt;=0,"",VLOOKUP(G116,#REF!,2,0))</f>
        <v/>
      </c>
      <c r="I116" s="10"/>
      <c r="J116" s="10"/>
      <c r="K116" s="10"/>
      <c r="L116" s="10"/>
      <c r="M116" s="11"/>
      <c r="N116" s="12"/>
      <c r="O116" s="12"/>
      <c r="P116" s="8"/>
    </row>
    <row r="117" spans="1:16" ht="37.5" customHeight="1" x14ac:dyDescent="0.2">
      <c r="A117" s="3"/>
      <c r="B117" s="4"/>
      <c r="C117" s="5"/>
      <c r="D117" s="6" t="str">
        <f>IF(C117&lt;=0,"",VLOOKUP(C117,#REF!,2,0))</f>
        <v/>
      </c>
      <c r="E117" s="5"/>
      <c r="F117" s="7"/>
      <c r="G117" s="8"/>
      <c r="H117" s="9" t="str">
        <f>IF(G117&lt;=0,"",VLOOKUP(G117,#REF!,2,0))</f>
        <v/>
      </c>
      <c r="I117" s="10"/>
      <c r="J117" s="10"/>
      <c r="K117" s="10"/>
      <c r="L117" s="10"/>
      <c r="M117" s="11"/>
      <c r="N117" s="12"/>
      <c r="O117" s="12"/>
      <c r="P117" s="8"/>
    </row>
    <row r="118" spans="1:16" ht="37.5" customHeight="1" x14ac:dyDescent="0.2">
      <c r="A118" s="3"/>
      <c r="B118" s="4"/>
      <c r="C118" s="5"/>
      <c r="D118" s="6" t="str">
        <f>IF(C118&lt;=0,"",VLOOKUP(C118,#REF!,2,0))</f>
        <v/>
      </c>
      <c r="E118" s="5"/>
      <c r="F118" s="7"/>
      <c r="G118" s="8"/>
      <c r="H118" s="9" t="str">
        <f>IF(G118&lt;=0,"",VLOOKUP(G118,#REF!,2,0))</f>
        <v/>
      </c>
      <c r="I118" s="10"/>
      <c r="J118" s="10"/>
      <c r="K118" s="10"/>
      <c r="L118" s="10"/>
      <c r="M118" s="11"/>
      <c r="N118" s="12"/>
      <c r="O118" s="12"/>
      <c r="P118" s="8"/>
    </row>
    <row r="119" spans="1:16" ht="37.5" customHeight="1" x14ac:dyDescent="0.2">
      <c r="A119" s="3"/>
      <c r="B119" s="4"/>
      <c r="C119" s="5"/>
      <c r="D119" s="6" t="str">
        <f>IF(C119&lt;=0,"",VLOOKUP(C119,#REF!,2,0))</f>
        <v/>
      </c>
      <c r="E119" s="5"/>
      <c r="F119" s="7"/>
      <c r="G119" s="8"/>
      <c r="H119" s="9" t="str">
        <f>IF(G119&lt;=0,"",VLOOKUP(G119,#REF!,2,0))</f>
        <v/>
      </c>
      <c r="I119" s="10"/>
      <c r="J119" s="10"/>
      <c r="K119" s="10"/>
      <c r="L119" s="10"/>
      <c r="M119" s="11"/>
      <c r="N119" s="12"/>
      <c r="O119" s="12"/>
      <c r="P119" s="8"/>
    </row>
    <row r="120" spans="1:16" ht="37.5" customHeight="1" x14ac:dyDescent="0.2">
      <c r="A120" s="3"/>
      <c r="B120" s="4"/>
      <c r="C120" s="5"/>
      <c r="D120" s="6" t="str">
        <f>IF(C120&lt;=0,"",VLOOKUP(C120,#REF!,2,0))</f>
        <v/>
      </c>
      <c r="E120" s="5"/>
      <c r="F120" s="7"/>
      <c r="G120" s="8"/>
      <c r="H120" s="9" t="str">
        <f>IF(G120&lt;=0,"",VLOOKUP(G120,#REF!,2,0))</f>
        <v/>
      </c>
      <c r="I120" s="10"/>
      <c r="J120" s="10"/>
      <c r="K120" s="10"/>
      <c r="L120" s="10"/>
      <c r="M120" s="11"/>
      <c r="N120" s="12"/>
      <c r="O120" s="12"/>
      <c r="P120" s="8"/>
    </row>
    <row r="121" spans="1:16" ht="37.5" customHeight="1" x14ac:dyDescent="0.2">
      <c r="A121" s="3"/>
      <c r="B121" s="4"/>
      <c r="C121" s="5"/>
      <c r="D121" s="6" t="str">
        <f>IF(C121&lt;=0,"",VLOOKUP(C121,#REF!,2,0))</f>
        <v/>
      </c>
      <c r="E121" s="5"/>
      <c r="F121" s="7"/>
      <c r="G121" s="8"/>
      <c r="H121" s="9" t="str">
        <f>IF(G121&lt;=0,"",VLOOKUP(G121,#REF!,2,0))</f>
        <v/>
      </c>
      <c r="I121" s="10"/>
      <c r="J121" s="10"/>
      <c r="K121" s="10"/>
      <c r="L121" s="10"/>
      <c r="M121" s="11"/>
      <c r="N121" s="12"/>
      <c r="O121" s="12"/>
      <c r="P121" s="8"/>
    </row>
    <row r="122" spans="1:16" ht="37.5" customHeight="1" x14ac:dyDescent="0.2">
      <c r="A122" s="3"/>
      <c r="B122" s="4"/>
      <c r="C122" s="5"/>
      <c r="D122" s="6" t="str">
        <f>IF(C122&lt;=0,"",VLOOKUP(C122,#REF!,2,0))</f>
        <v/>
      </c>
      <c r="E122" s="5"/>
      <c r="F122" s="7"/>
      <c r="G122" s="8"/>
      <c r="H122" s="9" t="str">
        <f>IF(G122&lt;=0,"",VLOOKUP(G122,#REF!,2,0))</f>
        <v/>
      </c>
      <c r="I122" s="10"/>
      <c r="J122" s="10"/>
      <c r="K122" s="10"/>
      <c r="L122" s="10"/>
      <c r="M122" s="11"/>
      <c r="N122" s="12"/>
      <c r="O122" s="12"/>
      <c r="P122" s="8"/>
    </row>
    <row r="123" spans="1:16" ht="37.5" customHeight="1" x14ac:dyDescent="0.2">
      <c r="A123" s="3"/>
      <c r="B123" s="4"/>
      <c r="C123" s="5"/>
      <c r="D123" s="6" t="str">
        <f>IF(C123&lt;=0,"",VLOOKUP(C123,#REF!,2,0))</f>
        <v/>
      </c>
      <c r="E123" s="5"/>
      <c r="F123" s="7"/>
      <c r="G123" s="8"/>
      <c r="H123" s="9" t="str">
        <f>IF(G123&lt;=0,"",VLOOKUP(G123,#REF!,2,0))</f>
        <v/>
      </c>
      <c r="I123" s="10"/>
      <c r="J123" s="10"/>
      <c r="K123" s="10"/>
      <c r="L123" s="10"/>
      <c r="M123" s="11"/>
      <c r="N123" s="12"/>
      <c r="O123" s="12"/>
      <c r="P123" s="8"/>
    </row>
    <row r="124" spans="1:16" ht="37.5" customHeight="1" x14ac:dyDescent="0.2">
      <c r="A124" s="3"/>
      <c r="B124" s="4"/>
      <c r="C124" s="5"/>
      <c r="D124" s="6" t="str">
        <f>IF(C124&lt;=0,"",VLOOKUP(C124,#REF!,2,0))</f>
        <v/>
      </c>
      <c r="E124" s="5"/>
      <c r="F124" s="7"/>
      <c r="G124" s="8"/>
      <c r="H124" s="9" t="str">
        <f>IF(G124&lt;=0,"",VLOOKUP(G124,#REF!,2,0))</f>
        <v/>
      </c>
      <c r="I124" s="10"/>
      <c r="J124" s="10"/>
      <c r="K124" s="10"/>
      <c r="L124" s="10"/>
      <c r="M124" s="11"/>
      <c r="N124" s="12"/>
      <c r="O124" s="12"/>
      <c r="P124" s="8"/>
    </row>
    <row r="125" spans="1:16" ht="37.5" customHeight="1" x14ac:dyDescent="0.2">
      <c r="A125" s="3"/>
      <c r="B125" s="4"/>
      <c r="C125" s="5"/>
      <c r="D125" s="6" t="str">
        <f>IF(C125&lt;=0,"",VLOOKUP(C125,#REF!,2,0))</f>
        <v/>
      </c>
      <c r="E125" s="5"/>
      <c r="F125" s="7"/>
      <c r="G125" s="8"/>
      <c r="H125" s="9" t="str">
        <f>IF(G125&lt;=0,"",VLOOKUP(G125,#REF!,2,0))</f>
        <v/>
      </c>
      <c r="I125" s="10"/>
      <c r="J125" s="10"/>
      <c r="K125" s="10"/>
      <c r="L125" s="10"/>
      <c r="M125" s="11"/>
      <c r="N125" s="12"/>
      <c r="O125" s="12"/>
      <c r="P125" s="8"/>
    </row>
    <row r="126" spans="1:16" ht="37.5" customHeight="1" x14ac:dyDescent="0.2">
      <c r="A126" s="3"/>
      <c r="B126" s="4"/>
      <c r="C126" s="5"/>
      <c r="D126" s="6" t="str">
        <f>IF(C126&lt;=0,"",VLOOKUP(C126,#REF!,2,0))</f>
        <v/>
      </c>
      <c r="E126" s="5"/>
      <c r="F126" s="7"/>
      <c r="G126" s="8"/>
      <c r="H126" s="9" t="str">
        <f>IF(G126&lt;=0,"",VLOOKUP(G126,#REF!,2,0))</f>
        <v/>
      </c>
      <c r="I126" s="10"/>
      <c r="J126" s="10"/>
      <c r="K126" s="10"/>
      <c r="L126" s="10"/>
      <c r="M126" s="11"/>
      <c r="N126" s="12"/>
      <c r="O126" s="12"/>
      <c r="P126" s="8"/>
    </row>
    <row r="127" spans="1:16" ht="37.5" customHeight="1" x14ac:dyDescent="0.2">
      <c r="A127" s="3"/>
      <c r="B127" s="4"/>
      <c r="C127" s="5"/>
      <c r="D127" s="6" t="str">
        <f>IF(C127&lt;=0,"",VLOOKUP(C127,#REF!,2,0))</f>
        <v/>
      </c>
      <c r="E127" s="5"/>
      <c r="F127" s="7"/>
      <c r="G127" s="8"/>
      <c r="H127" s="9" t="str">
        <f>IF(G127&lt;=0,"",VLOOKUP(G127,#REF!,2,0))</f>
        <v/>
      </c>
      <c r="I127" s="10"/>
      <c r="J127" s="10"/>
      <c r="K127" s="10"/>
      <c r="L127" s="10"/>
      <c r="M127" s="11"/>
      <c r="N127" s="12"/>
      <c r="O127" s="12"/>
      <c r="P127" s="8"/>
    </row>
    <row r="128" spans="1:16" ht="37.5" customHeight="1" x14ac:dyDescent="0.2">
      <c r="A128" s="3"/>
      <c r="B128" s="4"/>
      <c r="C128" s="5"/>
      <c r="D128" s="6" t="str">
        <f>IF(C128&lt;=0,"",VLOOKUP(C128,#REF!,2,0))</f>
        <v/>
      </c>
      <c r="E128" s="5"/>
      <c r="F128" s="7"/>
      <c r="G128" s="8"/>
      <c r="H128" s="9" t="str">
        <f>IF(G128&lt;=0,"",VLOOKUP(G128,#REF!,2,0))</f>
        <v/>
      </c>
      <c r="I128" s="10"/>
      <c r="J128" s="10"/>
      <c r="K128" s="10"/>
      <c r="L128" s="10"/>
      <c r="M128" s="11"/>
      <c r="N128" s="12"/>
      <c r="O128" s="12"/>
      <c r="P128" s="8"/>
    </row>
    <row r="129" spans="1:16" ht="37.5" customHeight="1" x14ac:dyDescent="0.2">
      <c r="A129" s="3"/>
      <c r="B129" s="4"/>
      <c r="C129" s="5"/>
      <c r="D129" s="6" t="str">
        <f>IF(C129&lt;=0,"",VLOOKUP(C129,#REF!,2,0))</f>
        <v/>
      </c>
      <c r="E129" s="5"/>
      <c r="F129" s="7"/>
      <c r="G129" s="8"/>
      <c r="H129" s="9" t="str">
        <f>IF(G129&lt;=0,"",VLOOKUP(G129,#REF!,2,0))</f>
        <v/>
      </c>
      <c r="I129" s="10"/>
      <c r="J129" s="10"/>
      <c r="K129" s="10"/>
      <c r="L129" s="10"/>
      <c r="M129" s="11"/>
      <c r="N129" s="12"/>
      <c r="O129" s="12"/>
      <c r="P129" s="8"/>
    </row>
    <row r="130" spans="1:16" ht="37.5" customHeight="1" x14ac:dyDescent="0.2">
      <c r="A130" s="3"/>
      <c r="B130" s="4"/>
      <c r="C130" s="5"/>
      <c r="D130" s="6" t="str">
        <f>IF(C130&lt;=0,"",VLOOKUP(C130,#REF!,2,0))</f>
        <v/>
      </c>
      <c r="E130" s="5"/>
      <c r="F130" s="7"/>
      <c r="G130" s="8"/>
      <c r="H130" s="9" t="str">
        <f>IF(G130&lt;=0,"",VLOOKUP(G130,#REF!,2,0))</f>
        <v/>
      </c>
      <c r="I130" s="10"/>
      <c r="J130" s="10"/>
      <c r="K130" s="10"/>
      <c r="L130" s="10"/>
      <c r="M130" s="11"/>
      <c r="N130" s="12"/>
      <c r="O130" s="12"/>
      <c r="P130" s="8"/>
    </row>
    <row r="131" spans="1:16" ht="37.5" customHeight="1" x14ac:dyDescent="0.2">
      <c r="A131" s="3"/>
      <c r="B131" s="4"/>
      <c r="C131" s="5"/>
      <c r="D131" s="6" t="str">
        <f>IF(C131&lt;=0,"",VLOOKUP(C131,#REF!,2,0))</f>
        <v/>
      </c>
      <c r="E131" s="5"/>
      <c r="F131" s="7"/>
      <c r="G131" s="8"/>
      <c r="H131" s="9" t="str">
        <f>IF(G131&lt;=0,"",VLOOKUP(G131,#REF!,2,0))</f>
        <v/>
      </c>
      <c r="I131" s="10"/>
      <c r="J131" s="10"/>
      <c r="K131" s="10"/>
      <c r="L131" s="10"/>
      <c r="M131" s="11"/>
      <c r="N131" s="12"/>
      <c r="O131" s="12"/>
      <c r="P131" s="8"/>
    </row>
    <row r="132" spans="1:16" ht="37.5" customHeight="1" x14ac:dyDescent="0.2">
      <c r="A132" s="3"/>
      <c r="B132" s="4"/>
      <c r="C132" s="5"/>
      <c r="D132" s="6" t="str">
        <f>IF(C132&lt;=0,"",VLOOKUP(C132,#REF!,2,0))</f>
        <v/>
      </c>
      <c r="E132" s="5"/>
      <c r="F132" s="7"/>
      <c r="G132" s="8"/>
      <c r="H132" s="9" t="str">
        <f>IF(G132&lt;=0,"",VLOOKUP(G132,#REF!,2,0))</f>
        <v/>
      </c>
      <c r="I132" s="10"/>
      <c r="J132" s="10"/>
      <c r="K132" s="10"/>
      <c r="L132" s="10"/>
      <c r="M132" s="11"/>
      <c r="N132" s="12"/>
      <c r="O132" s="12"/>
      <c r="P132" s="8"/>
    </row>
    <row r="133" spans="1:16" ht="37.5" customHeight="1" x14ac:dyDescent="0.2">
      <c r="A133" s="3"/>
      <c r="B133" s="4"/>
      <c r="C133" s="5"/>
      <c r="D133" s="6" t="str">
        <f>IF(C133&lt;=0,"",VLOOKUP(C133,#REF!,2,0))</f>
        <v/>
      </c>
      <c r="E133" s="5"/>
      <c r="F133" s="7"/>
      <c r="G133" s="8"/>
      <c r="H133" s="9" t="str">
        <f>IF(G133&lt;=0,"",VLOOKUP(G133,#REF!,2,0))</f>
        <v/>
      </c>
      <c r="I133" s="10"/>
      <c r="J133" s="10"/>
      <c r="K133" s="10"/>
      <c r="L133" s="10"/>
      <c r="M133" s="11"/>
      <c r="N133" s="12"/>
      <c r="O133" s="12"/>
      <c r="P133" s="8"/>
    </row>
    <row r="134" spans="1:16" ht="37.5" customHeight="1" x14ac:dyDescent="0.2">
      <c r="A134" s="3"/>
      <c r="B134" s="4"/>
      <c r="C134" s="5"/>
      <c r="D134" s="6" t="str">
        <f>IF(C134&lt;=0,"",VLOOKUP(C134,#REF!,2,0))</f>
        <v/>
      </c>
      <c r="E134" s="5"/>
      <c r="F134" s="7"/>
      <c r="G134" s="8"/>
      <c r="H134" s="9" t="str">
        <f>IF(G134&lt;=0,"",VLOOKUP(G134,#REF!,2,0))</f>
        <v/>
      </c>
      <c r="I134" s="10"/>
      <c r="J134" s="10"/>
      <c r="K134" s="10"/>
      <c r="L134" s="10"/>
      <c r="M134" s="11"/>
      <c r="N134" s="12"/>
      <c r="O134" s="12"/>
      <c r="P134" s="8"/>
    </row>
    <row r="135" spans="1:16" ht="37.5" customHeight="1" x14ac:dyDescent="0.2">
      <c r="A135" s="3"/>
      <c r="B135" s="4"/>
      <c r="C135" s="5"/>
      <c r="D135" s="6" t="str">
        <f>IF(C135&lt;=0,"",VLOOKUP(C135,#REF!,2,0))</f>
        <v/>
      </c>
      <c r="E135" s="5"/>
      <c r="F135" s="7"/>
      <c r="G135" s="8"/>
      <c r="H135" s="9" t="str">
        <f>IF(G135&lt;=0,"",VLOOKUP(G135,#REF!,2,0))</f>
        <v/>
      </c>
      <c r="I135" s="10"/>
      <c r="J135" s="10"/>
      <c r="K135" s="10"/>
      <c r="L135" s="10"/>
      <c r="M135" s="11"/>
      <c r="N135" s="12"/>
      <c r="O135" s="12"/>
      <c r="P135" s="8"/>
    </row>
    <row r="136" spans="1:16" ht="37.5" customHeight="1" x14ac:dyDescent="0.2">
      <c r="A136" s="3"/>
      <c r="B136" s="4"/>
      <c r="C136" s="5"/>
      <c r="D136" s="6" t="str">
        <f>IF(C136&lt;=0,"",VLOOKUP(C136,#REF!,2,0))</f>
        <v/>
      </c>
      <c r="E136" s="5"/>
      <c r="F136" s="7"/>
      <c r="G136" s="8"/>
      <c r="H136" s="9" t="str">
        <f>IF(G136&lt;=0,"",VLOOKUP(G136,#REF!,2,0))</f>
        <v/>
      </c>
      <c r="I136" s="10"/>
      <c r="J136" s="10"/>
      <c r="K136" s="10"/>
      <c r="L136" s="10"/>
      <c r="M136" s="11"/>
      <c r="N136" s="12"/>
      <c r="O136" s="12"/>
      <c r="P136" s="8"/>
    </row>
    <row r="137" spans="1:16" ht="37.5" customHeight="1" x14ac:dyDescent="0.2">
      <c r="A137" s="3"/>
      <c r="B137" s="4"/>
      <c r="C137" s="5"/>
      <c r="D137" s="6" t="str">
        <f>IF(C137&lt;=0,"",VLOOKUP(C137,#REF!,2,0))</f>
        <v/>
      </c>
      <c r="E137" s="5"/>
      <c r="F137" s="7"/>
      <c r="G137" s="8"/>
      <c r="H137" s="9" t="str">
        <f>IF(G137&lt;=0,"",VLOOKUP(G137,#REF!,2,0))</f>
        <v/>
      </c>
      <c r="I137" s="10"/>
      <c r="J137" s="10"/>
      <c r="K137" s="10"/>
      <c r="L137" s="10"/>
      <c r="M137" s="11"/>
      <c r="N137" s="12"/>
      <c r="O137" s="12"/>
      <c r="P137" s="8"/>
    </row>
    <row r="138" spans="1:16" ht="37.5" customHeight="1" x14ac:dyDescent="0.2">
      <c r="A138" s="3"/>
      <c r="B138" s="4"/>
      <c r="C138" s="5"/>
      <c r="D138" s="6" t="str">
        <f>IF(C138&lt;=0,"",VLOOKUP(C138,#REF!,2,0))</f>
        <v/>
      </c>
      <c r="E138" s="5"/>
      <c r="F138" s="7"/>
      <c r="G138" s="8"/>
      <c r="H138" s="9" t="str">
        <f>IF(G138&lt;=0,"",VLOOKUP(G138,#REF!,2,0))</f>
        <v/>
      </c>
      <c r="I138" s="10"/>
      <c r="J138" s="10"/>
      <c r="K138" s="10"/>
      <c r="L138" s="10"/>
      <c r="M138" s="11"/>
      <c r="N138" s="12"/>
      <c r="O138" s="12"/>
      <c r="P138" s="8"/>
    </row>
    <row r="139" spans="1:16" ht="37.5" customHeight="1" x14ac:dyDescent="0.2">
      <c r="A139" s="3"/>
      <c r="B139" s="4"/>
      <c r="C139" s="5"/>
      <c r="D139" s="6" t="str">
        <f>IF(C139&lt;=0,"",VLOOKUP(C139,#REF!,2,0))</f>
        <v/>
      </c>
      <c r="E139" s="5"/>
      <c r="F139" s="7"/>
      <c r="G139" s="8"/>
      <c r="H139" s="9" t="str">
        <f>IF(G139&lt;=0,"",VLOOKUP(G139,#REF!,2,0))</f>
        <v/>
      </c>
      <c r="I139" s="10"/>
      <c r="J139" s="10"/>
      <c r="K139" s="10"/>
      <c r="L139" s="10"/>
      <c r="M139" s="11"/>
      <c r="N139" s="12"/>
      <c r="O139" s="12"/>
      <c r="P139" s="8"/>
    </row>
    <row r="140" spans="1:16" ht="37.5" customHeight="1" x14ac:dyDescent="0.2">
      <c r="A140" s="3"/>
      <c r="B140" s="4"/>
      <c r="C140" s="5"/>
      <c r="D140" s="6" t="str">
        <f>IF(C140&lt;=0,"",VLOOKUP(C140,#REF!,2,0))</f>
        <v/>
      </c>
      <c r="E140" s="5"/>
      <c r="F140" s="7"/>
      <c r="G140" s="8"/>
      <c r="H140" s="9" t="str">
        <f>IF(G140&lt;=0,"",VLOOKUP(G140,#REF!,2,0))</f>
        <v/>
      </c>
      <c r="I140" s="10"/>
      <c r="J140" s="10"/>
      <c r="K140" s="10"/>
      <c r="L140" s="10"/>
      <c r="M140" s="11"/>
      <c r="N140" s="12"/>
      <c r="O140" s="12"/>
      <c r="P140" s="8"/>
    </row>
    <row r="141" spans="1:16" ht="37.5" customHeight="1" x14ac:dyDescent="0.2">
      <c r="A141" s="3"/>
      <c r="B141" s="4"/>
      <c r="C141" s="5"/>
      <c r="D141" s="6" t="str">
        <f>IF(C141&lt;=0,"",VLOOKUP(C141,#REF!,2,0))</f>
        <v/>
      </c>
      <c r="E141" s="5"/>
      <c r="F141" s="7"/>
      <c r="G141" s="8"/>
      <c r="H141" s="9" t="str">
        <f>IF(G141&lt;=0,"",VLOOKUP(G141,#REF!,2,0))</f>
        <v/>
      </c>
      <c r="I141" s="10"/>
      <c r="J141" s="10"/>
      <c r="K141" s="10"/>
      <c r="L141" s="10"/>
      <c r="M141" s="11"/>
      <c r="N141" s="12"/>
      <c r="O141" s="12"/>
      <c r="P141" s="8"/>
    </row>
    <row r="142" spans="1:16" ht="37.5" customHeight="1" x14ac:dyDescent="0.2">
      <c r="A142" s="3"/>
      <c r="B142" s="4"/>
      <c r="C142" s="5"/>
      <c r="D142" s="6" t="str">
        <f>IF(C142&lt;=0,"",VLOOKUP(C142,#REF!,2,0))</f>
        <v/>
      </c>
      <c r="E142" s="5"/>
      <c r="F142" s="7"/>
      <c r="G142" s="8"/>
      <c r="H142" s="9" t="str">
        <f>IF(G142&lt;=0,"",VLOOKUP(G142,#REF!,2,0))</f>
        <v/>
      </c>
      <c r="I142" s="10"/>
      <c r="J142" s="10"/>
      <c r="K142" s="10"/>
      <c r="L142" s="10"/>
      <c r="M142" s="11"/>
      <c r="N142" s="12"/>
      <c r="O142" s="12"/>
      <c r="P142" s="8"/>
    </row>
    <row r="143" spans="1:16" ht="37.5" customHeight="1" x14ac:dyDescent="0.2">
      <c r="A143" s="3"/>
      <c r="B143" s="4"/>
      <c r="C143" s="5"/>
      <c r="D143" s="6" t="str">
        <f>IF(C143&lt;=0,"",VLOOKUP(C143,#REF!,2,0))</f>
        <v/>
      </c>
      <c r="E143" s="5"/>
      <c r="F143" s="7"/>
      <c r="G143" s="8"/>
      <c r="H143" s="9" t="str">
        <f>IF(G143&lt;=0,"",VLOOKUP(G143,#REF!,2,0))</f>
        <v/>
      </c>
      <c r="I143" s="10"/>
      <c r="J143" s="10"/>
      <c r="K143" s="10"/>
      <c r="L143" s="10"/>
      <c r="M143" s="11"/>
      <c r="N143" s="12"/>
      <c r="O143" s="12"/>
      <c r="P143" s="8"/>
    </row>
    <row r="144" spans="1:16" ht="37.5" customHeight="1" x14ac:dyDescent="0.2">
      <c r="A144" s="3"/>
      <c r="B144" s="4"/>
      <c r="C144" s="5"/>
      <c r="D144" s="6" t="str">
        <f>IF(C144&lt;=0,"",VLOOKUP(C144,#REF!,2,0))</f>
        <v/>
      </c>
      <c r="E144" s="5"/>
      <c r="F144" s="7"/>
      <c r="G144" s="8"/>
      <c r="H144" s="9" t="str">
        <f>IF(G144&lt;=0,"",VLOOKUP(G144,#REF!,2,0))</f>
        <v/>
      </c>
      <c r="I144" s="10"/>
      <c r="J144" s="10"/>
      <c r="K144" s="10"/>
      <c r="L144" s="10"/>
      <c r="M144" s="11"/>
      <c r="N144" s="12"/>
      <c r="O144" s="12"/>
      <c r="P144" s="8"/>
    </row>
    <row r="145" spans="1:16" ht="37.5" customHeight="1" x14ac:dyDescent="0.2">
      <c r="A145" s="3"/>
      <c r="B145" s="4"/>
      <c r="C145" s="5"/>
      <c r="D145" s="6" t="str">
        <f>IF(C145&lt;=0,"",VLOOKUP(C145,#REF!,2,0))</f>
        <v/>
      </c>
      <c r="E145" s="5"/>
      <c r="F145" s="7"/>
      <c r="G145" s="8"/>
      <c r="H145" s="9" t="str">
        <f>IF(G145&lt;=0,"",VLOOKUP(G145,#REF!,2,0))</f>
        <v/>
      </c>
      <c r="I145" s="10"/>
      <c r="J145" s="10"/>
      <c r="K145" s="10"/>
      <c r="L145" s="10"/>
      <c r="M145" s="11"/>
      <c r="N145" s="12"/>
      <c r="O145" s="12"/>
      <c r="P145" s="8"/>
    </row>
    <row r="146" spans="1:16" ht="37.5" customHeight="1" x14ac:dyDescent="0.2">
      <c r="A146" s="3"/>
      <c r="B146" s="4"/>
      <c r="C146" s="5"/>
      <c r="D146" s="6" t="str">
        <f>IF(C146&lt;=0,"",VLOOKUP(C146,#REF!,2,0))</f>
        <v/>
      </c>
      <c r="E146" s="5"/>
      <c r="F146" s="7"/>
      <c r="G146" s="8"/>
      <c r="H146" s="9" t="str">
        <f>IF(G146&lt;=0,"",VLOOKUP(G146,#REF!,2,0))</f>
        <v/>
      </c>
      <c r="I146" s="10"/>
      <c r="J146" s="10"/>
      <c r="K146" s="10"/>
      <c r="L146" s="10"/>
      <c r="M146" s="11"/>
      <c r="N146" s="12"/>
      <c r="O146" s="12"/>
      <c r="P146" s="8"/>
    </row>
    <row r="147" spans="1:16" ht="37.5" customHeight="1" x14ac:dyDescent="0.2">
      <c r="A147" s="3"/>
      <c r="B147" s="4"/>
      <c r="C147" s="5"/>
      <c r="D147" s="6" t="str">
        <f>IF(C147&lt;=0,"",VLOOKUP(C147,#REF!,2,0))</f>
        <v/>
      </c>
      <c r="E147" s="5"/>
      <c r="F147" s="7"/>
      <c r="G147" s="8"/>
      <c r="H147" s="9" t="str">
        <f>IF(G147&lt;=0,"",VLOOKUP(G147,#REF!,2,0))</f>
        <v/>
      </c>
      <c r="I147" s="10"/>
      <c r="J147" s="10"/>
      <c r="K147" s="10"/>
      <c r="L147" s="10"/>
      <c r="M147" s="11"/>
      <c r="N147" s="12"/>
      <c r="O147" s="13"/>
      <c r="P147" s="8"/>
    </row>
    <row r="148" spans="1:16" ht="37.5" customHeight="1" x14ac:dyDescent="0.2">
      <c r="A148" s="3"/>
      <c r="B148" s="4"/>
      <c r="C148" s="5"/>
      <c r="D148" s="6" t="str">
        <f>IF(C148&lt;=0,"",VLOOKUP(C148,#REF!,2,0))</f>
        <v/>
      </c>
      <c r="E148" s="5"/>
      <c r="F148" s="7"/>
      <c r="G148" s="8"/>
      <c r="H148" s="9" t="str">
        <f>IF(G148&lt;=0,"",VLOOKUP(G148,#REF!,2,0))</f>
        <v/>
      </c>
      <c r="I148" s="10"/>
      <c r="J148" s="10"/>
      <c r="K148" s="10"/>
      <c r="L148" s="10"/>
      <c r="M148" s="11"/>
      <c r="N148" s="12"/>
      <c r="O148" s="13"/>
      <c r="P148" s="8"/>
    </row>
    <row r="149" spans="1:16" ht="37.5" customHeight="1" x14ac:dyDescent="0.2">
      <c r="A149" s="3"/>
      <c r="B149" s="4"/>
      <c r="C149" s="5"/>
      <c r="D149" s="6" t="str">
        <f>IF(C149&lt;=0,"",VLOOKUP(C149,#REF!,2,0))</f>
        <v/>
      </c>
      <c r="E149" s="5"/>
      <c r="F149" s="7"/>
      <c r="G149" s="8"/>
      <c r="H149" s="9" t="str">
        <f>IF(G149&lt;=0,"",VLOOKUP(G149,#REF!,2,0))</f>
        <v/>
      </c>
      <c r="I149" s="10"/>
      <c r="J149" s="10"/>
      <c r="K149" s="10"/>
      <c r="L149" s="10"/>
      <c r="M149" s="11"/>
      <c r="N149" s="12"/>
      <c r="O149" s="13"/>
      <c r="P149" s="8"/>
    </row>
    <row r="150" spans="1:16" ht="37.5" customHeight="1" x14ac:dyDescent="0.2">
      <c r="A150" s="3"/>
      <c r="B150" s="4"/>
      <c r="C150" s="5"/>
      <c r="D150" s="6" t="str">
        <f>IF(C150&lt;=0,"",VLOOKUP(C150,#REF!,2,0))</f>
        <v/>
      </c>
      <c r="E150" s="5"/>
      <c r="F150" s="7"/>
      <c r="G150" s="8"/>
      <c r="H150" s="9" t="str">
        <f>IF(G150&lt;=0,"",VLOOKUP(G150,#REF!,2,0))</f>
        <v/>
      </c>
      <c r="I150" s="10"/>
      <c r="J150" s="10"/>
      <c r="K150" s="10"/>
      <c r="L150" s="10"/>
      <c r="M150" s="11"/>
      <c r="N150" s="12"/>
      <c r="O150" s="13"/>
      <c r="P150" s="8"/>
    </row>
    <row r="151" spans="1:16" ht="37.5" customHeight="1" x14ac:dyDescent="0.2">
      <c r="A151" s="3"/>
      <c r="B151" s="4"/>
      <c r="C151" s="5"/>
      <c r="D151" s="6" t="str">
        <f>IF(C151&lt;=0,"",VLOOKUP(C151,#REF!,2,0))</f>
        <v/>
      </c>
      <c r="E151" s="5"/>
      <c r="F151" s="7"/>
      <c r="G151" s="8"/>
      <c r="H151" s="9" t="str">
        <f>IF(G151&lt;=0,"",VLOOKUP(G151,#REF!,2,0))</f>
        <v/>
      </c>
      <c r="I151" s="10"/>
      <c r="J151" s="10"/>
      <c r="K151" s="10"/>
      <c r="L151" s="10"/>
      <c r="M151" s="11"/>
      <c r="N151" s="12"/>
      <c r="O151" s="13"/>
      <c r="P151" s="8"/>
    </row>
    <row r="152" spans="1:16" ht="37.5" customHeight="1" x14ac:dyDescent="0.2">
      <c r="A152" s="3"/>
      <c r="B152" s="4"/>
      <c r="C152" s="5"/>
      <c r="D152" s="6" t="str">
        <f>IF(C152&lt;=0,"",VLOOKUP(C152,#REF!,2,0))</f>
        <v/>
      </c>
      <c r="E152" s="5"/>
      <c r="F152" s="7"/>
      <c r="G152" s="8"/>
      <c r="H152" s="9" t="str">
        <f>IF(G152&lt;=0,"",VLOOKUP(G152,#REF!,2,0))</f>
        <v/>
      </c>
      <c r="I152" s="10"/>
      <c r="J152" s="10"/>
      <c r="K152" s="10"/>
      <c r="L152" s="10"/>
      <c r="M152" s="11"/>
      <c r="N152" s="12"/>
      <c r="O152" s="13"/>
      <c r="P152" s="8"/>
    </row>
    <row r="153" spans="1:16" ht="37.5" customHeight="1" x14ac:dyDescent="0.2">
      <c r="A153" s="3"/>
      <c r="B153" s="4"/>
      <c r="C153" s="5"/>
      <c r="D153" s="6" t="str">
        <f>IF(C153&lt;=0,"",VLOOKUP(C153,#REF!,2,0))</f>
        <v/>
      </c>
      <c r="E153" s="5"/>
      <c r="F153" s="7"/>
      <c r="G153" s="8"/>
      <c r="H153" s="9" t="str">
        <f>IF(G153&lt;=0,"",VLOOKUP(G153,#REF!,2,0))</f>
        <v/>
      </c>
      <c r="I153" s="10"/>
      <c r="J153" s="10"/>
      <c r="K153" s="10"/>
      <c r="L153" s="10"/>
      <c r="M153" s="11"/>
      <c r="N153" s="12"/>
      <c r="O153" s="13"/>
      <c r="P153" s="8"/>
    </row>
    <row r="154" spans="1:16" ht="37.5" customHeight="1" x14ac:dyDescent="0.2">
      <c r="A154" s="3"/>
      <c r="B154" s="4"/>
      <c r="C154" s="5"/>
      <c r="D154" s="6" t="str">
        <f>IF(C154&lt;=0,"",VLOOKUP(C154,#REF!,2,0))</f>
        <v/>
      </c>
      <c r="E154" s="5"/>
      <c r="F154" s="7"/>
      <c r="G154" s="8"/>
      <c r="H154" s="9" t="str">
        <f>IF(G154&lt;=0,"",VLOOKUP(G154,#REF!,2,0))</f>
        <v/>
      </c>
      <c r="I154" s="10"/>
      <c r="J154" s="10"/>
      <c r="K154" s="10"/>
      <c r="L154" s="10"/>
      <c r="M154" s="11"/>
      <c r="N154" s="12"/>
      <c r="O154" s="13"/>
      <c r="P154" s="8"/>
    </row>
    <row r="155" spans="1:16" ht="37.5" customHeight="1" x14ac:dyDescent="0.2">
      <c r="A155" s="3"/>
      <c r="B155" s="4"/>
      <c r="C155" s="5"/>
      <c r="D155" s="6" t="str">
        <f>IF(C155&lt;=0,"",VLOOKUP(C155,#REF!,2,0))</f>
        <v/>
      </c>
      <c r="E155" s="5"/>
      <c r="F155" s="7"/>
      <c r="G155" s="8"/>
      <c r="H155" s="9" t="str">
        <f>IF(G155&lt;=0,"",VLOOKUP(G155,#REF!,2,0))</f>
        <v/>
      </c>
      <c r="I155" s="10"/>
      <c r="J155" s="10"/>
      <c r="K155" s="10"/>
      <c r="L155" s="10"/>
      <c r="M155" s="11"/>
      <c r="N155" s="12"/>
      <c r="O155" s="13"/>
      <c r="P155" s="8"/>
    </row>
    <row r="156" spans="1:16" ht="37.5" customHeight="1" x14ac:dyDescent="0.2">
      <c r="A156" s="3"/>
      <c r="B156" s="4"/>
      <c r="C156" s="5"/>
      <c r="D156" s="6" t="str">
        <f>IF(C156&lt;=0,"",VLOOKUP(C156,#REF!,2,0))</f>
        <v/>
      </c>
      <c r="E156" s="5"/>
      <c r="F156" s="7"/>
      <c r="G156" s="8"/>
      <c r="H156" s="9" t="str">
        <f>IF(G156&lt;=0,"",VLOOKUP(G156,#REF!,2,0))</f>
        <v/>
      </c>
      <c r="I156" s="10"/>
      <c r="J156" s="10"/>
      <c r="K156" s="10"/>
      <c r="L156" s="10"/>
      <c r="M156" s="11"/>
      <c r="N156" s="12"/>
      <c r="O156" s="13"/>
      <c r="P156" s="8"/>
    </row>
    <row r="157" spans="1:16" ht="37.5" customHeight="1" x14ac:dyDescent="0.2">
      <c r="A157" s="3"/>
      <c r="B157" s="4"/>
      <c r="C157" s="5"/>
      <c r="D157" s="6" t="str">
        <f>IF(C157&lt;=0,"",VLOOKUP(C157,#REF!,2,0))</f>
        <v/>
      </c>
      <c r="E157" s="5"/>
      <c r="F157" s="7"/>
      <c r="G157" s="8"/>
      <c r="H157" s="9" t="str">
        <f>IF(G157&lt;=0,"",VLOOKUP(G157,#REF!,2,0))</f>
        <v/>
      </c>
      <c r="I157" s="10"/>
      <c r="J157" s="10"/>
      <c r="K157" s="10"/>
      <c r="L157" s="10"/>
      <c r="M157" s="11"/>
      <c r="N157" s="12"/>
      <c r="O157" s="13"/>
      <c r="P157" s="8"/>
    </row>
    <row r="158" spans="1:16" ht="37.5" customHeight="1" x14ac:dyDescent="0.2">
      <c r="A158" s="3"/>
      <c r="B158" s="4"/>
      <c r="C158" s="5"/>
      <c r="D158" s="6" t="str">
        <f>IF(C158&lt;=0,"",VLOOKUP(C158,#REF!,2,0))</f>
        <v/>
      </c>
      <c r="E158" s="5"/>
      <c r="F158" s="7"/>
      <c r="G158" s="8"/>
      <c r="H158" s="9" t="str">
        <f>IF(G158&lt;=0,"",VLOOKUP(G158,#REF!,2,0))</f>
        <v/>
      </c>
      <c r="I158" s="10"/>
      <c r="J158" s="10"/>
      <c r="K158" s="10"/>
      <c r="L158" s="10"/>
      <c r="M158" s="11"/>
      <c r="N158" s="12"/>
      <c r="O158" s="13"/>
      <c r="P158" s="8"/>
    </row>
    <row r="159" spans="1:16" ht="37.5" customHeight="1" x14ac:dyDescent="0.2">
      <c r="A159" s="3"/>
      <c r="B159" s="4"/>
      <c r="C159" s="5"/>
      <c r="D159" s="6" t="str">
        <f>IF(C159&lt;=0,"",VLOOKUP(C159,#REF!,2,0))</f>
        <v/>
      </c>
      <c r="E159" s="5"/>
      <c r="F159" s="7"/>
      <c r="G159" s="8"/>
      <c r="H159" s="9" t="str">
        <f>IF(G159&lt;=0,"",VLOOKUP(G159,#REF!,2,0))</f>
        <v/>
      </c>
      <c r="I159" s="10"/>
      <c r="J159" s="10"/>
      <c r="K159" s="10"/>
      <c r="L159" s="10"/>
      <c r="M159" s="11"/>
      <c r="N159" s="12"/>
      <c r="O159" s="13"/>
      <c r="P159" s="8"/>
    </row>
    <row r="160" spans="1:16" ht="37.5" customHeight="1" x14ac:dyDescent="0.2">
      <c r="A160" s="3"/>
      <c r="B160" s="4"/>
      <c r="C160" s="5"/>
      <c r="D160" s="6" t="str">
        <f>IF(C160&lt;=0,"",VLOOKUP(C160,#REF!,2,0))</f>
        <v/>
      </c>
      <c r="E160" s="5"/>
      <c r="F160" s="7"/>
      <c r="G160" s="8"/>
      <c r="H160" s="9" t="str">
        <f>IF(G160&lt;=0,"",VLOOKUP(G160,#REF!,2,0))</f>
        <v/>
      </c>
      <c r="I160" s="10"/>
      <c r="J160" s="10"/>
      <c r="K160" s="10"/>
      <c r="L160" s="10"/>
      <c r="M160" s="11"/>
      <c r="N160" s="12"/>
      <c r="O160" s="13"/>
      <c r="P160" s="8"/>
    </row>
    <row r="161" spans="1:16" ht="37.5" customHeight="1" x14ac:dyDescent="0.2">
      <c r="A161" s="3"/>
      <c r="B161" s="4"/>
      <c r="C161" s="5"/>
      <c r="D161" s="6" t="str">
        <f>IF(C161&lt;=0,"",VLOOKUP(C161,#REF!,2,0))</f>
        <v/>
      </c>
      <c r="E161" s="5"/>
      <c r="F161" s="7"/>
      <c r="G161" s="8"/>
      <c r="H161" s="9" t="str">
        <f>IF(G161&lt;=0,"",VLOOKUP(G161,#REF!,2,0))</f>
        <v/>
      </c>
      <c r="I161" s="10"/>
      <c r="J161" s="10"/>
      <c r="K161" s="10"/>
      <c r="L161" s="10"/>
      <c r="M161" s="11"/>
      <c r="N161" s="12"/>
      <c r="O161" s="13"/>
      <c r="P161" s="8"/>
    </row>
    <row r="162" spans="1:16" ht="37.5" customHeight="1" x14ac:dyDescent="0.2">
      <c r="A162" s="3"/>
      <c r="B162" s="4"/>
      <c r="C162" s="5"/>
      <c r="D162" s="6" t="str">
        <f>IF(C162&lt;=0,"",VLOOKUP(C162,#REF!,2,0))</f>
        <v/>
      </c>
      <c r="E162" s="5"/>
      <c r="F162" s="7"/>
      <c r="G162" s="8"/>
      <c r="H162" s="9" t="str">
        <f>IF(G162&lt;=0,"",VLOOKUP(G162,#REF!,2,0))</f>
        <v/>
      </c>
      <c r="I162" s="10"/>
      <c r="J162" s="10"/>
      <c r="K162" s="10"/>
      <c r="L162" s="10"/>
      <c r="M162" s="11"/>
      <c r="N162" s="12"/>
      <c r="O162" s="13"/>
      <c r="P162" s="8"/>
    </row>
    <row r="163" spans="1:16" ht="37.5" customHeight="1" x14ac:dyDescent="0.2">
      <c r="A163" s="3"/>
      <c r="B163" s="4"/>
      <c r="C163" s="5"/>
      <c r="D163" s="6" t="str">
        <f>IF(C163&lt;=0,"",VLOOKUP(C163,#REF!,2,0))</f>
        <v/>
      </c>
      <c r="E163" s="5"/>
      <c r="F163" s="7"/>
      <c r="G163" s="8"/>
      <c r="H163" s="9" t="str">
        <f>IF(G163&lt;=0,"",VLOOKUP(G163,#REF!,2,0))</f>
        <v/>
      </c>
      <c r="I163" s="10"/>
      <c r="J163" s="10"/>
      <c r="K163" s="10"/>
      <c r="L163" s="10"/>
      <c r="M163" s="11"/>
      <c r="N163" s="12"/>
      <c r="O163" s="13"/>
      <c r="P163" s="8"/>
    </row>
    <row r="164" spans="1:16" ht="37.5" customHeight="1" x14ac:dyDescent="0.2">
      <c r="A164" s="3"/>
      <c r="B164" s="4"/>
      <c r="C164" s="5"/>
      <c r="D164" s="6" t="str">
        <f>IF(C164&lt;=0,"",VLOOKUP(C164,#REF!,2,0))</f>
        <v/>
      </c>
      <c r="E164" s="5"/>
      <c r="F164" s="7"/>
      <c r="G164" s="8"/>
      <c r="H164" s="9" t="str">
        <f>IF(G164&lt;=0,"",VLOOKUP(G164,#REF!,2,0))</f>
        <v/>
      </c>
      <c r="I164" s="10"/>
      <c r="J164" s="10"/>
      <c r="K164" s="10"/>
      <c r="L164" s="10"/>
      <c r="M164" s="11"/>
      <c r="N164" s="12"/>
      <c r="O164" s="13"/>
      <c r="P164" s="8"/>
    </row>
    <row r="165" spans="1:16" ht="37.5" customHeight="1" x14ac:dyDescent="0.2">
      <c r="A165" s="3"/>
      <c r="B165" s="4"/>
      <c r="C165" s="5"/>
      <c r="D165" s="6" t="str">
        <f>IF(C165&lt;=0,"",VLOOKUP(C165,#REF!,2,0))</f>
        <v/>
      </c>
      <c r="E165" s="5"/>
      <c r="F165" s="7"/>
      <c r="G165" s="8"/>
      <c r="H165" s="9" t="str">
        <f>IF(G165&lt;=0,"",VLOOKUP(G165,#REF!,2,0))</f>
        <v/>
      </c>
      <c r="I165" s="10"/>
      <c r="J165" s="10"/>
      <c r="K165" s="10"/>
      <c r="L165" s="10"/>
      <c r="M165" s="11"/>
      <c r="N165" s="12"/>
      <c r="O165" s="13"/>
      <c r="P165" s="8"/>
    </row>
    <row r="166" spans="1:16" ht="37.5" customHeight="1" x14ac:dyDescent="0.2">
      <c r="A166" s="3"/>
      <c r="B166" s="4"/>
      <c r="C166" s="5"/>
      <c r="D166" s="6" t="str">
        <f>IF(C166&lt;=0,"",VLOOKUP(C166,#REF!,2,0))</f>
        <v/>
      </c>
      <c r="E166" s="5"/>
      <c r="F166" s="7"/>
      <c r="G166" s="8"/>
      <c r="H166" s="9" t="str">
        <f>IF(G166&lt;=0,"",VLOOKUP(G166,#REF!,2,0))</f>
        <v/>
      </c>
      <c r="I166" s="10"/>
      <c r="J166" s="10"/>
      <c r="K166" s="10"/>
      <c r="L166" s="10"/>
      <c r="M166" s="11"/>
      <c r="N166" s="12"/>
      <c r="O166" s="13"/>
      <c r="P166" s="8"/>
    </row>
    <row r="167" spans="1:16" ht="37.5" customHeight="1" x14ac:dyDescent="0.2">
      <c r="A167" s="3"/>
      <c r="B167" s="4"/>
      <c r="C167" s="5"/>
      <c r="D167" s="6" t="str">
        <f>IF(C167&lt;=0,"",VLOOKUP(C167,#REF!,2,0))</f>
        <v/>
      </c>
      <c r="E167" s="5"/>
      <c r="F167" s="7"/>
      <c r="G167" s="8"/>
      <c r="H167" s="9" t="str">
        <f>IF(G167&lt;=0,"",VLOOKUP(G167,#REF!,2,0))</f>
        <v/>
      </c>
      <c r="I167" s="10"/>
      <c r="J167" s="10"/>
      <c r="K167" s="10"/>
      <c r="L167" s="10"/>
      <c r="M167" s="11"/>
      <c r="N167" s="12"/>
      <c r="O167" s="13"/>
      <c r="P167" s="8"/>
    </row>
    <row r="168" spans="1:16" ht="37.5" customHeight="1" x14ac:dyDescent="0.2">
      <c r="A168" s="3"/>
      <c r="B168" s="4"/>
      <c r="C168" s="5"/>
      <c r="D168" s="6" t="str">
        <f>IF(C168&lt;=0,"",VLOOKUP(C168,#REF!,2,0))</f>
        <v/>
      </c>
      <c r="E168" s="5"/>
      <c r="F168" s="7"/>
      <c r="G168" s="8"/>
      <c r="H168" s="9" t="str">
        <f>IF(G168&lt;=0,"",VLOOKUP(G168,#REF!,2,0))</f>
        <v/>
      </c>
      <c r="I168" s="10"/>
      <c r="J168" s="10"/>
      <c r="K168" s="10"/>
      <c r="L168" s="10"/>
      <c r="M168" s="11"/>
      <c r="N168" s="12"/>
      <c r="O168" s="13"/>
      <c r="P168" s="8"/>
    </row>
    <row r="169" spans="1:16" ht="37.5" customHeight="1" x14ac:dyDescent="0.2">
      <c r="A169" s="3"/>
      <c r="B169" s="4"/>
      <c r="C169" s="5"/>
      <c r="D169" s="6" t="str">
        <f>IF(C169&lt;=0,"",VLOOKUP(C169,#REF!,2,0))</f>
        <v/>
      </c>
      <c r="E169" s="5"/>
      <c r="F169" s="7"/>
      <c r="G169" s="8"/>
      <c r="H169" s="9" t="str">
        <f>IF(G169&lt;=0,"",VLOOKUP(G169,#REF!,2,0))</f>
        <v/>
      </c>
      <c r="I169" s="10"/>
      <c r="J169" s="10"/>
      <c r="K169" s="10"/>
      <c r="L169" s="10"/>
      <c r="M169" s="11"/>
      <c r="N169" s="12"/>
      <c r="O169" s="13"/>
      <c r="P169" s="8"/>
    </row>
    <row r="170" spans="1:16" ht="37.5" customHeight="1" x14ac:dyDescent="0.2">
      <c r="A170" s="14"/>
      <c r="B170" s="14"/>
      <c r="C170" s="14"/>
      <c r="D170" s="15"/>
      <c r="E170" s="14"/>
      <c r="F170" s="14"/>
      <c r="G170" s="14"/>
      <c r="H170" s="16" t="s">
        <v>32</v>
      </c>
      <c r="I170" s="17"/>
      <c r="J170" s="17"/>
      <c r="K170" s="17"/>
      <c r="L170" s="17"/>
      <c r="M170" s="18">
        <f>SUBTOTAL(109,Tabla15[[PRESUPUESTO ANUAL AUTORIZADO ]])</f>
        <v>46641006</v>
      </c>
      <c r="N170" s="19"/>
      <c r="O170" s="19"/>
      <c r="P170" s="14"/>
    </row>
    <row r="173" spans="1:16" ht="37.5" customHeight="1" x14ac:dyDescent="0.2">
      <c r="M173" s="29"/>
    </row>
  </sheetData>
  <protectedRanges>
    <protectedRange algorithmName="SHA-512" hashValue="CVDb5J/0TlFD03lqit9XaA7LbCMGvWLCsduA3v8dImZEGhWfzgZ6Dg6bkjbAbJm1bYAcMLcpovU/dJmuMze5jw==" saltValue="QZ4X9aU2cO4/tAPW6011Dw==" spinCount="100000" sqref="N5:P170" name="EDITABLE 4"/>
    <protectedRange algorithmName="SHA-512" hashValue="ytsoXFfC1+WmXVaa1/e6XfcZ7vPjNmSnuZe33NqN4NcqbRxNJdzSGuklMRpskJNPYNNz1yZQe585JE4aSLisOg==" saltValue="/jSLFmNX0mB2vn2qhSJbtw==" spinCount="100000" sqref="I5:L170" name="EDITABLE 3"/>
    <protectedRange algorithmName="SHA-512" hashValue="pJNw8ysPJcfMEDlzTgza0siiHuU4FkUpIzbuTX325DFaYD5nL5ng0z0JoIGpE+CYch2hq/LccMqSM51MpHojPQ==" saltValue="xv9nj4u85CXs/Kmy5tmlKw==" spinCount="100000" sqref="E5:G170" name="EDITABLE 2"/>
    <protectedRange algorithmName="SHA-512" hashValue="Lst7hsT/mUUQvFsOUalIdMZhSjExDj/C7u4r1gIjHREwBj16N7lqODQ0CY6n+RXalo774Zm4aYZKVBS0n4XIeg==" saltValue="KfnRR/cqfK967zBK52Zr6A==" spinCount="100000" sqref="A5:C170" name="EDITABLE 1"/>
  </protectedRanges>
  <mergeCells count="3">
    <mergeCell ref="A1:P1"/>
    <mergeCell ref="A2:P2"/>
    <mergeCell ref="A3:P3"/>
  </mergeCells>
  <dataValidations count="2">
    <dataValidation type="list" allowBlank="1" showInputMessage="1" showErrorMessage="1" sqref="G5:G169" xr:uid="{49691299-11B3-4780-BB77-C9A6A1104032}">
      <formula1>INDIRECT(F5)</formula1>
    </dataValidation>
    <dataValidation type="list" allowBlank="1" showInputMessage="1" showErrorMessage="1" sqref="F5:F169" xr:uid="{E9AAC1AB-E7BF-44CC-A381-21E9A0528D74}">
      <formula1>CAPITULOS</formula1>
    </dataValidation>
  </dataValidations>
  <pageMargins left="0.23622047244094491" right="0.23622047244094491" top="0.19685039370078741" bottom="0.23622047244094491" header="0.15748031496062992" footer="0.15748031496062992"/>
  <pageSetup paperSize="5" scale="64" orientation="landscape" r:id="rId1"/>
  <drawing r:id="rId2"/>
  <legacyDrawing r:id="rId3"/>
  <tableParts count="1">
    <tablePart r:id="rId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415208-CD99-430C-BC60-AA68E7F214E8}">
  <sheetPr>
    <tabColor rgb="FF00B050"/>
  </sheetPr>
  <dimension ref="A1:P49"/>
  <sheetViews>
    <sheetView zoomScaleNormal="100" workbookViewId="0">
      <pane ySplit="4" topLeftCell="A40" activePane="bottomLeft" state="frozen"/>
      <selection activeCell="L24" sqref="L24"/>
      <selection pane="bottomLeft" activeCell="L24" sqref="L24"/>
    </sheetView>
  </sheetViews>
  <sheetFormatPr baseColWidth="10" defaultColWidth="11.42578125" defaultRowHeight="37.5" customHeight="1" x14ac:dyDescent="0.2"/>
  <cols>
    <col min="1" max="1" width="10.28515625" style="1" customWidth="1"/>
    <col min="2" max="2" width="17.5703125" style="1" customWidth="1"/>
    <col min="3" max="3" width="18.140625" style="1" customWidth="1"/>
    <col min="4" max="4" width="17.42578125" style="1" customWidth="1"/>
    <col min="5" max="5" width="14.7109375" style="1" customWidth="1"/>
    <col min="6" max="6" width="11.140625" style="1" customWidth="1"/>
    <col min="7" max="7" width="13" style="1" customWidth="1"/>
    <col min="8" max="8" width="32.140625" style="1" customWidth="1"/>
    <col min="9" max="12" width="11.140625" style="1" customWidth="1"/>
    <col min="13" max="13" width="19" style="1" customWidth="1"/>
    <col min="14" max="15" width="21.7109375" style="1" customWidth="1"/>
    <col min="16" max="16" width="18.5703125" style="1" customWidth="1"/>
    <col min="17" max="16384" width="11.42578125" style="1"/>
  </cols>
  <sheetData>
    <row r="1" spans="1:16" ht="22.5" customHeight="1" x14ac:dyDescent="0.2">
      <c r="A1" s="115" t="s">
        <v>24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</row>
    <row r="2" spans="1:16" ht="18.75" customHeight="1" x14ac:dyDescent="0.2">
      <c r="A2" s="116" t="s">
        <v>68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</row>
    <row r="3" spans="1:16" ht="32.25" customHeight="1" x14ac:dyDescent="0.2">
      <c r="A3" s="117" t="s">
        <v>25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</row>
    <row r="4" spans="1:16" s="2" customFormat="1" ht="48" customHeight="1" x14ac:dyDescent="0.2">
      <c r="A4" s="72" t="s">
        <v>0</v>
      </c>
      <c r="B4" s="72" t="s">
        <v>1</v>
      </c>
      <c r="C4" s="72" t="s">
        <v>2</v>
      </c>
      <c r="D4" s="72" t="s">
        <v>3</v>
      </c>
      <c r="E4" s="72" t="s">
        <v>4</v>
      </c>
      <c r="F4" s="72" t="s">
        <v>5</v>
      </c>
      <c r="G4" s="72" t="s">
        <v>6</v>
      </c>
      <c r="H4" s="72" t="s">
        <v>7</v>
      </c>
      <c r="I4" s="72" t="s">
        <v>26</v>
      </c>
      <c r="J4" s="72" t="s">
        <v>8</v>
      </c>
      <c r="K4" s="72" t="s">
        <v>9</v>
      </c>
      <c r="L4" s="72" t="s">
        <v>10</v>
      </c>
      <c r="M4" s="72" t="s">
        <v>27</v>
      </c>
      <c r="N4" s="72" t="s">
        <v>11</v>
      </c>
      <c r="O4" s="72" t="s">
        <v>12</v>
      </c>
      <c r="P4" s="72" t="s">
        <v>13</v>
      </c>
    </row>
    <row r="5" spans="1:16" ht="37.5" customHeight="1" x14ac:dyDescent="0.2">
      <c r="A5" s="3">
        <v>425026</v>
      </c>
      <c r="B5" s="4" t="s">
        <v>69</v>
      </c>
      <c r="C5" s="5">
        <v>530</v>
      </c>
      <c r="D5" s="6" t="str">
        <f>IF(C5&lt;=0,"",VLOOKUP(C5,[10]FF!A:D,2,0))</f>
        <v>PARTICIPACIONES Ramo 28</v>
      </c>
      <c r="E5" s="5" t="s">
        <v>70</v>
      </c>
      <c r="F5" s="7" t="s">
        <v>15</v>
      </c>
      <c r="G5" s="8">
        <v>211001</v>
      </c>
      <c r="H5" s="9" t="str">
        <f>IF(G5&lt;=0,"",VLOOKUP(G5,[10]COG!A:H,2,0))</f>
        <v>Material de oficina</v>
      </c>
      <c r="I5" s="10">
        <v>113390</v>
      </c>
      <c r="J5" s="10">
        <v>113390</v>
      </c>
      <c r="K5" s="10">
        <v>113390</v>
      </c>
      <c r="L5" s="10">
        <v>113390</v>
      </c>
      <c r="M5" s="11">
        <f>SUM(Tabla16[[#This Row],[TRIMESTRE  I]:[TRIMESTRE IV]])</f>
        <v>453560</v>
      </c>
      <c r="N5" s="12" t="s">
        <v>17</v>
      </c>
      <c r="O5" s="13" t="s">
        <v>71</v>
      </c>
      <c r="P5" s="8" t="s">
        <v>37</v>
      </c>
    </row>
    <row r="6" spans="1:16" ht="37.5" customHeight="1" x14ac:dyDescent="0.2">
      <c r="A6" s="3">
        <v>425028</v>
      </c>
      <c r="B6" s="4" t="s">
        <v>69</v>
      </c>
      <c r="C6" s="5">
        <v>530</v>
      </c>
      <c r="D6" s="6" t="str">
        <f>IF(C6&lt;=0,"",VLOOKUP(C6,[10]FF!A:D,2,0))</f>
        <v>PARTICIPACIONES Ramo 28</v>
      </c>
      <c r="E6" s="5" t="s">
        <v>72</v>
      </c>
      <c r="F6" s="7" t="s">
        <v>15</v>
      </c>
      <c r="G6" s="8">
        <v>211001</v>
      </c>
      <c r="H6" s="9" t="str">
        <f>IF(G6&lt;=0,"",VLOOKUP(G6,[10]COG!A:H,2,0))</f>
        <v>Material de oficina</v>
      </c>
      <c r="I6" s="10">
        <v>6375</v>
      </c>
      <c r="J6" s="10">
        <v>6375</v>
      </c>
      <c r="K6" s="10">
        <v>6375</v>
      </c>
      <c r="L6" s="10">
        <v>6375</v>
      </c>
      <c r="M6" s="11">
        <f>SUM(Tabla16[[#This Row],[TRIMESTRE  I]:[TRIMESTRE IV]])</f>
        <v>25500</v>
      </c>
      <c r="N6" s="12" t="s">
        <v>17</v>
      </c>
      <c r="O6" s="13" t="s">
        <v>71</v>
      </c>
      <c r="P6" s="8" t="s">
        <v>37</v>
      </c>
    </row>
    <row r="7" spans="1:16" ht="37.5" customHeight="1" x14ac:dyDescent="0.2">
      <c r="A7" s="3">
        <v>426029</v>
      </c>
      <c r="B7" s="4" t="s">
        <v>69</v>
      </c>
      <c r="C7" s="5">
        <v>530</v>
      </c>
      <c r="D7" s="6" t="str">
        <f>IF(C7&lt;=0,"",VLOOKUP(C7,[10]FF!A:D,2,0))</f>
        <v>PARTICIPACIONES Ramo 28</v>
      </c>
      <c r="E7" s="5" t="s">
        <v>73</v>
      </c>
      <c r="F7" s="7" t="s">
        <v>15</v>
      </c>
      <c r="G7" s="8">
        <v>211001</v>
      </c>
      <c r="H7" s="9" t="str">
        <f>IF(G7&lt;=0,"",VLOOKUP(G7,[10]COG!A:H,2,0))</f>
        <v>Material de oficina</v>
      </c>
      <c r="I7" s="10">
        <v>38747</v>
      </c>
      <c r="J7" s="10">
        <v>38747</v>
      </c>
      <c r="K7" s="10">
        <v>38747</v>
      </c>
      <c r="L7" s="10">
        <v>38747</v>
      </c>
      <c r="M7" s="11">
        <f>SUM(Tabla16[[#This Row],[TRIMESTRE  I]:[TRIMESTRE IV]])</f>
        <v>154988</v>
      </c>
      <c r="N7" s="12" t="s">
        <v>17</v>
      </c>
      <c r="O7" s="13" t="s">
        <v>71</v>
      </c>
      <c r="P7" s="8" t="s">
        <v>37</v>
      </c>
    </row>
    <row r="8" spans="1:16" ht="37.5" customHeight="1" x14ac:dyDescent="0.2">
      <c r="A8" s="3">
        <v>427030</v>
      </c>
      <c r="B8" s="4" t="s">
        <v>69</v>
      </c>
      <c r="C8" s="5">
        <v>530</v>
      </c>
      <c r="D8" s="6" t="str">
        <f>IF(C8&lt;=0,"",VLOOKUP(C8,[10]FF!A:D,2,0))</f>
        <v>PARTICIPACIONES Ramo 28</v>
      </c>
      <c r="E8" s="5" t="s">
        <v>74</v>
      </c>
      <c r="F8" s="7" t="s">
        <v>15</v>
      </c>
      <c r="G8" s="8">
        <v>211001</v>
      </c>
      <c r="H8" s="9" t="str">
        <f>IF(G8&lt;=0,"",VLOOKUP(G8,[10]COG!A:H,2,0))</f>
        <v>Material de oficina</v>
      </c>
      <c r="I8" s="10">
        <v>10236.5</v>
      </c>
      <c r="J8" s="10">
        <v>10236.5</v>
      </c>
      <c r="K8" s="10">
        <v>10236.5</v>
      </c>
      <c r="L8" s="10">
        <v>10236.5</v>
      </c>
      <c r="M8" s="11">
        <f>SUM(Tabla16[[#This Row],[TRIMESTRE  I]:[TRIMESTRE IV]])</f>
        <v>40946</v>
      </c>
      <c r="N8" s="12" t="s">
        <v>17</v>
      </c>
      <c r="O8" s="13" t="s">
        <v>71</v>
      </c>
      <c r="P8" s="8" t="s">
        <v>37</v>
      </c>
    </row>
    <row r="9" spans="1:16" ht="37.5" customHeight="1" x14ac:dyDescent="0.2">
      <c r="A9" s="3">
        <v>427031</v>
      </c>
      <c r="B9" s="4" t="s">
        <v>69</v>
      </c>
      <c r="C9" s="5">
        <v>530</v>
      </c>
      <c r="D9" s="6" t="str">
        <f>IF(C9&lt;=0,"",VLOOKUP(C9,[10]FF!A:D,2,0))</f>
        <v>PARTICIPACIONES Ramo 28</v>
      </c>
      <c r="E9" s="5" t="s">
        <v>75</v>
      </c>
      <c r="F9" s="7" t="s">
        <v>15</v>
      </c>
      <c r="G9" s="8">
        <v>211001</v>
      </c>
      <c r="H9" s="9" t="str">
        <f>IF(G9&lt;=0,"",VLOOKUP(G9,[10]COG!A:H,2,0))</f>
        <v>Material de oficina</v>
      </c>
      <c r="I9" s="10">
        <v>765</v>
      </c>
      <c r="J9" s="10">
        <v>765</v>
      </c>
      <c r="K9" s="10">
        <v>765</v>
      </c>
      <c r="L9" s="10">
        <v>765</v>
      </c>
      <c r="M9" s="11">
        <f>SUM(Tabla16[[#This Row],[TRIMESTRE  I]:[TRIMESTRE IV]])</f>
        <v>3060</v>
      </c>
      <c r="N9" s="12" t="s">
        <v>17</v>
      </c>
      <c r="O9" s="13" t="s">
        <v>71</v>
      </c>
      <c r="P9" s="8" t="s">
        <v>37</v>
      </c>
    </row>
    <row r="10" spans="1:16" ht="37.5" customHeight="1" x14ac:dyDescent="0.2">
      <c r="A10" s="3">
        <v>427032</v>
      </c>
      <c r="B10" s="4" t="s">
        <v>69</v>
      </c>
      <c r="C10" s="5">
        <v>530</v>
      </c>
      <c r="D10" s="6" t="str">
        <f>IF(C10&lt;=0,"",VLOOKUP(C10,[10]FF!A:D,2,0))</f>
        <v>PARTICIPACIONES Ramo 28</v>
      </c>
      <c r="E10" s="5" t="s">
        <v>76</v>
      </c>
      <c r="F10" s="7" t="s">
        <v>15</v>
      </c>
      <c r="G10" s="8">
        <v>211001</v>
      </c>
      <c r="H10" s="9" t="str">
        <f>IF(G10&lt;=0,"",VLOOKUP(G10,[10]COG!A:H,2,0))</f>
        <v>Material de oficina</v>
      </c>
      <c r="I10" s="10">
        <v>792</v>
      </c>
      <c r="J10" s="10">
        <v>792</v>
      </c>
      <c r="K10" s="10">
        <v>792</v>
      </c>
      <c r="L10" s="10">
        <v>792</v>
      </c>
      <c r="M10" s="11">
        <f>SUM(Tabla16[[#This Row],[TRIMESTRE  I]:[TRIMESTRE IV]])</f>
        <v>3168</v>
      </c>
      <c r="N10" s="12" t="s">
        <v>17</v>
      </c>
      <c r="O10" s="13" t="s">
        <v>71</v>
      </c>
      <c r="P10" s="8" t="s">
        <v>37</v>
      </c>
    </row>
    <row r="11" spans="1:16" ht="37.5" customHeight="1" x14ac:dyDescent="0.2">
      <c r="A11" s="3">
        <v>428033</v>
      </c>
      <c r="B11" s="4" t="s">
        <v>69</v>
      </c>
      <c r="C11" s="5">
        <v>530</v>
      </c>
      <c r="D11" s="6" t="str">
        <f>IF(C11&lt;=0,"",VLOOKUP(C11,[10]FF!A:D,2,0))</f>
        <v>PARTICIPACIONES Ramo 28</v>
      </c>
      <c r="E11" s="5" t="s">
        <v>77</v>
      </c>
      <c r="F11" s="7" t="s">
        <v>15</v>
      </c>
      <c r="G11" s="8">
        <v>211001</v>
      </c>
      <c r="H11" s="9" t="str">
        <f>IF(G11&lt;=0,"",VLOOKUP(G11,[10]COG!A:H,2,0))</f>
        <v>Material de oficina</v>
      </c>
      <c r="I11" s="10">
        <v>4006.25</v>
      </c>
      <c r="J11" s="10">
        <v>4006.25</v>
      </c>
      <c r="K11" s="10">
        <v>4006.25</v>
      </c>
      <c r="L11" s="10">
        <v>4006.25</v>
      </c>
      <c r="M11" s="11">
        <f>SUM(Tabla16[[#This Row],[TRIMESTRE  I]:[TRIMESTRE IV]])</f>
        <v>16025</v>
      </c>
      <c r="N11" s="12" t="s">
        <v>17</v>
      </c>
      <c r="O11" s="13" t="s">
        <v>71</v>
      </c>
      <c r="P11" s="8" t="s">
        <v>37</v>
      </c>
    </row>
    <row r="12" spans="1:16" ht="37.5" customHeight="1" x14ac:dyDescent="0.2">
      <c r="A12" s="3">
        <v>429034</v>
      </c>
      <c r="B12" s="4" t="s">
        <v>69</v>
      </c>
      <c r="C12" s="5">
        <v>530</v>
      </c>
      <c r="D12" s="6" t="str">
        <f>IF(C12&lt;=0,"",VLOOKUP(C12,[10]FF!A:D,2,0))</f>
        <v>PARTICIPACIONES Ramo 28</v>
      </c>
      <c r="E12" s="5" t="s">
        <v>78</v>
      </c>
      <c r="F12" s="7" t="s">
        <v>15</v>
      </c>
      <c r="G12" s="8">
        <v>211001</v>
      </c>
      <c r="H12" s="9" t="str">
        <f>IF(G12&lt;=0,"",VLOOKUP(G12,[10]COG!A:H,2,0))</f>
        <v>Material de oficina</v>
      </c>
      <c r="I12" s="10">
        <v>5468.75</v>
      </c>
      <c r="J12" s="10">
        <v>5468.75</v>
      </c>
      <c r="K12" s="10">
        <v>5468.75</v>
      </c>
      <c r="L12" s="10">
        <v>5468.75</v>
      </c>
      <c r="M12" s="11">
        <f>SUM(Tabla16[[#This Row],[TRIMESTRE  I]:[TRIMESTRE IV]])</f>
        <v>21875</v>
      </c>
      <c r="N12" s="12" t="s">
        <v>17</v>
      </c>
      <c r="O12" s="13" t="s">
        <v>71</v>
      </c>
      <c r="P12" s="8" t="s">
        <v>37</v>
      </c>
    </row>
    <row r="13" spans="1:16" ht="37.5" customHeight="1" x14ac:dyDescent="0.2">
      <c r="A13" s="3">
        <v>429035</v>
      </c>
      <c r="B13" s="4" t="s">
        <v>69</v>
      </c>
      <c r="C13" s="5">
        <v>530</v>
      </c>
      <c r="D13" s="6" t="str">
        <f>IF(C13&lt;=0,"",VLOOKUP(C13,[10]FF!A:D,2,0))</f>
        <v>PARTICIPACIONES Ramo 28</v>
      </c>
      <c r="E13" s="5" t="s">
        <v>79</v>
      </c>
      <c r="F13" s="7" t="s">
        <v>15</v>
      </c>
      <c r="G13" s="8">
        <v>211001</v>
      </c>
      <c r="H13" s="9" t="str">
        <f>IF(G13&lt;=0,"",VLOOKUP(G13,[10]COG!A:H,2,0))</f>
        <v>Material de oficina</v>
      </c>
      <c r="I13" s="10">
        <v>1620.75</v>
      </c>
      <c r="J13" s="10">
        <v>1620.75</v>
      </c>
      <c r="K13" s="10">
        <v>1620.75</v>
      </c>
      <c r="L13" s="10">
        <v>1620.75</v>
      </c>
      <c r="M13" s="11">
        <f>SUM(Tabla16[[#This Row],[TRIMESTRE  I]:[TRIMESTRE IV]])</f>
        <v>6483</v>
      </c>
      <c r="N13" s="12" t="s">
        <v>17</v>
      </c>
      <c r="O13" s="13" t="s">
        <v>71</v>
      </c>
      <c r="P13" s="8" t="s">
        <v>37</v>
      </c>
    </row>
    <row r="14" spans="1:16" ht="37.5" customHeight="1" x14ac:dyDescent="0.2">
      <c r="A14" s="3">
        <v>429036</v>
      </c>
      <c r="B14" s="4" t="s">
        <v>69</v>
      </c>
      <c r="C14" s="5">
        <v>530</v>
      </c>
      <c r="D14" s="6" t="str">
        <f>IF(C14&lt;=0,"",VLOOKUP(C14,[10]FF!A:D,2,0))</f>
        <v>PARTICIPACIONES Ramo 28</v>
      </c>
      <c r="E14" s="5" t="s">
        <v>80</v>
      </c>
      <c r="F14" s="7" t="s">
        <v>15</v>
      </c>
      <c r="G14" s="8">
        <v>211001</v>
      </c>
      <c r="H14" s="9" t="str">
        <f>IF(G14&lt;=0,"",VLOOKUP(G14,[10]COG!A:H,2,0))</f>
        <v>Material de oficina</v>
      </c>
      <c r="I14" s="10">
        <v>2466</v>
      </c>
      <c r="J14" s="10">
        <v>2466</v>
      </c>
      <c r="K14" s="10">
        <v>2466</v>
      </c>
      <c r="L14" s="10">
        <v>2466</v>
      </c>
      <c r="M14" s="11">
        <f>SUM(Tabla16[[#This Row],[TRIMESTRE  I]:[TRIMESTRE IV]])</f>
        <v>9864</v>
      </c>
      <c r="N14" s="12" t="s">
        <v>17</v>
      </c>
      <c r="O14" s="13" t="s">
        <v>71</v>
      </c>
      <c r="P14" s="8" t="s">
        <v>37</v>
      </c>
    </row>
    <row r="15" spans="1:16" ht="37.5" customHeight="1" x14ac:dyDescent="0.2">
      <c r="A15" s="3">
        <v>430037</v>
      </c>
      <c r="B15" s="4" t="s">
        <v>69</v>
      </c>
      <c r="C15" s="5">
        <v>530</v>
      </c>
      <c r="D15" s="6" t="str">
        <f>IF(C15&lt;=0,"",VLOOKUP(C15,[10]FF!A:D,2,0))</f>
        <v>PARTICIPACIONES Ramo 28</v>
      </c>
      <c r="E15" s="5" t="s">
        <v>81</v>
      </c>
      <c r="F15" s="7" t="s">
        <v>15</v>
      </c>
      <c r="G15" s="8">
        <v>211001</v>
      </c>
      <c r="H15" s="9" t="str">
        <f>IF(G15&lt;=0,"",VLOOKUP(G15,[10]COG!A:H,2,0))</f>
        <v>Material de oficina</v>
      </c>
      <c r="I15" s="10">
        <v>735.75</v>
      </c>
      <c r="J15" s="10">
        <v>735.75</v>
      </c>
      <c r="K15" s="10">
        <v>735.75</v>
      </c>
      <c r="L15" s="10">
        <v>735.75</v>
      </c>
      <c r="M15" s="11">
        <f>SUM(Tabla16[[#This Row],[TRIMESTRE  I]:[TRIMESTRE IV]])</f>
        <v>2943</v>
      </c>
      <c r="N15" s="12" t="s">
        <v>17</v>
      </c>
      <c r="O15" s="13" t="s">
        <v>71</v>
      </c>
      <c r="P15" s="8" t="s">
        <v>37</v>
      </c>
    </row>
    <row r="16" spans="1:16" ht="37.5" customHeight="1" x14ac:dyDescent="0.2">
      <c r="A16" s="3">
        <v>431038</v>
      </c>
      <c r="B16" s="4" t="s">
        <v>69</v>
      </c>
      <c r="C16" s="5">
        <v>530</v>
      </c>
      <c r="D16" s="6" t="str">
        <f>IF(C16&lt;=0,"",VLOOKUP(C16,[10]FF!A:D,2,0))</f>
        <v>PARTICIPACIONES Ramo 28</v>
      </c>
      <c r="E16" s="5" t="s">
        <v>82</v>
      </c>
      <c r="F16" s="7" t="s">
        <v>15</v>
      </c>
      <c r="G16" s="8">
        <v>211001</v>
      </c>
      <c r="H16" s="9" t="str">
        <f>IF(G16&lt;=0,"",VLOOKUP(G16,[10]COG!A:H,2,0))</f>
        <v>Material de oficina</v>
      </c>
      <c r="I16" s="10">
        <v>14750</v>
      </c>
      <c r="J16" s="10">
        <v>14750</v>
      </c>
      <c r="K16" s="10">
        <v>14750</v>
      </c>
      <c r="L16" s="10">
        <v>14750</v>
      </c>
      <c r="M16" s="11">
        <f>SUM(Tabla16[[#This Row],[TRIMESTRE  I]:[TRIMESTRE IV]])</f>
        <v>59000</v>
      </c>
      <c r="N16" s="12" t="s">
        <v>17</v>
      </c>
      <c r="O16" s="13" t="s">
        <v>71</v>
      </c>
      <c r="P16" s="8" t="s">
        <v>37</v>
      </c>
    </row>
    <row r="17" spans="1:16" ht="37.5" customHeight="1" x14ac:dyDescent="0.2">
      <c r="A17" s="3">
        <v>425026</v>
      </c>
      <c r="B17" s="4" t="s">
        <v>69</v>
      </c>
      <c r="C17" s="5">
        <v>530</v>
      </c>
      <c r="D17" s="6" t="str">
        <f>IF(C17&lt;=0,"",VLOOKUP(C17,[10]FF!A:D,2,0))</f>
        <v>PARTICIPACIONES Ramo 28</v>
      </c>
      <c r="E17" s="5" t="s">
        <v>70</v>
      </c>
      <c r="F17" s="7" t="s">
        <v>15</v>
      </c>
      <c r="G17" s="8">
        <v>216001</v>
      </c>
      <c r="H17" s="9" t="str">
        <f>IF(G17&lt;=0,"",VLOOKUP(G17,[10]COG!A:H,2,0))</f>
        <v>Material de limpieza</v>
      </c>
      <c r="I17" s="10">
        <v>3783.6</v>
      </c>
      <c r="J17" s="10">
        <v>3783.6</v>
      </c>
      <c r="K17" s="10">
        <v>3783.6</v>
      </c>
      <c r="L17" s="10">
        <v>3783.6</v>
      </c>
      <c r="M17" s="11">
        <f>SUM(Tabla16[[#This Row],[TRIMESTRE  I]:[TRIMESTRE IV]])</f>
        <v>15134.4</v>
      </c>
      <c r="N17" s="12" t="s">
        <v>17</v>
      </c>
      <c r="O17" s="13" t="s">
        <v>71</v>
      </c>
      <c r="P17" s="8" t="s">
        <v>37</v>
      </c>
    </row>
    <row r="18" spans="1:16" ht="37.5" customHeight="1" x14ac:dyDescent="0.2">
      <c r="A18" s="3">
        <v>425027</v>
      </c>
      <c r="B18" s="4" t="s">
        <v>69</v>
      </c>
      <c r="C18" s="5">
        <v>530</v>
      </c>
      <c r="D18" s="6" t="str">
        <f>IF(C18&lt;=0,"",VLOOKUP(C18,[10]FF!A:D,2,0))</f>
        <v>PARTICIPACIONES Ramo 28</v>
      </c>
      <c r="E18" s="5" t="s">
        <v>83</v>
      </c>
      <c r="F18" s="7" t="s">
        <v>15</v>
      </c>
      <c r="G18" s="8">
        <v>216001</v>
      </c>
      <c r="H18" s="9" t="str">
        <f>IF(G18&lt;=0,"",VLOOKUP(G18,[10]COG!A:H,2,0))</f>
        <v>Material de limpieza</v>
      </c>
      <c r="I18" s="10">
        <v>2905.75</v>
      </c>
      <c r="J18" s="10">
        <v>2905.75</v>
      </c>
      <c r="K18" s="10">
        <v>2905.75</v>
      </c>
      <c r="L18" s="10">
        <v>2905.75</v>
      </c>
      <c r="M18" s="11">
        <f>SUM(Tabla16[[#This Row],[TRIMESTRE  I]:[TRIMESTRE IV]])</f>
        <v>11623</v>
      </c>
      <c r="N18" s="12" t="s">
        <v>17</v>
      </c>
      <c r="O18" s="13" t="s">
        <v>71</v>
      </c>
      <c r="P18" s="8" t="s">
        <v>37</v>
      </c>
    </row>
    <row r="19" spans="1:16" ht="37.5" customHeight="1" x14ac:dyDescent="0.2">
      <c r="A19" s="3">
        <v>425028</v>
      </c>
      <c r="B19" s="4" t="s">
        <v>69</v>
      </c>
      <c r="C19" s="5">
        <v>530</v>
      </c>
      <c r="D19" s="6" t="str">
        <f>IF(C19&lt;=0,"",VLOOKUP(C19,[10]FF!A:D,2,0))</f>
        <v>PARTICIPACIONES Ramo 28</v>
      </c>
      <c r="E19" s="5" t="s">
        <v>72</v>
      </c>
      <c r="F19" s="7" t="s">
        <v>15</v>
      </c>
      <c r="G19" s="8">
        <v>216001</v>
      </c>
      <c r="H19" s="9" t="str">
        <f>IF(G19&lt;=0,"",VLOOKUP(G19,[10]COG!A:H,2,0))</f>
        <v>Material de limpieza</v>
      </c>
      <c r="I19" s="10">
        <v>10358.75</v>
      </c>
      <c r="J19" s="10">
        <v>10358.75</v>
      </c>
      <c r="K19" s="10">
        <v>10358.75</v>
      </c>
      <c r="L19" s="10">
        <v>10358.75</v>
      </c>
      <c r="M19" s="11">
        <f>SUM(Tabla16[[#This Row],[TRIMESTRE  I]:[TRIMESTRE IV]])</f>
        <v>41435</v>
      </c>
      <c r="N19" s="12" t="s">
        <v>17</v>
      </c>
      <c r="O19" s="13" t="s">
        <v>71</v>
      </c>
      <c r="P19" s="8" t="s">
        <v>37</v>
      </c>
    </row>
    <row r="20" spans="1:16" ht="37.5" customHeight="1" x14ac:dyDescent="0.2">
      <c r="A20" s="30">
        <v>426029</v>
      </c>
      <c r="B20" s="4" t="s">
        <v>69</v>
      </c>
      <c r="C20" s="5">
        <v>530</v>
      </c>
      <c r="D20" s="24" t="str">
        <f>IF(C20&lt;=0,"",VLOOKUP(C20,[10]FF!A:D,2,0))</f>
        <v>PARTICIPACIONES Ramo 28</v>
      </c>
      <c r="E20" s="5" t="s">
        <v>73</v>
      </c>
      <c r="F20" s="32" t="s">
        <v>15</v>
      </c>
      <c r="G20" s="28">
        <v>216001</v>
      </c>
      <c r="H20" s="25" t="str">
        <f>IF(G20&lt;=0,"",VLOOKUP(G20,[10]COG!A:H,2,0))</f>
        <v>Material de limpieza</v>
      </c>
      <c r="I20" s="10">
        <v>20175</v>
      </c>
      <c r="J20" s="10">
        <v>20175</v>
      </c>
      <c r="K20" s="10">
        <v>20175</v>
      </c>
      <c r="L20" s="10">
        <v>20175</v>
      </c>
      <c r="M20" s="27">
        <f>SUM(Tabla16[[#This Row],[TRIMESTRE  I]:[TRIMESTRE IV]])</f>
        <v>80700</v>
      </c>
      <c r="N20" s="33" t="s">
        <v>17</v>
      </c>
      <c r="O20" s="13" t="s">
        <v>71</v>
      </c>
      <c r="P20" s="8" t="s">
        <v>37</v>
      </c>
    </row>
    <row r="21" spans="1:16" ht="37.5" customHeight="1" x14ac:dyDescent="0.2">
      <c r="A21" s="30">
        <v>427030</v>
      </c>
      <c r="B21" s="4" t="s">
        <v>69</v>
      </c>
      <c r="C21" s="5">
        <v>530</v>
      </c>
      <c r="D21" s="24" t="str">
        <f>IF(C21&lt;=0,"",VLOOKUP(C21,[10]FF!A:D,2,0))</f>
        <v>PARTICIPACIONES Ramo 28</v>
      </c>
      <c r="E21" s="5" t="s">
        <v>84</v>
      </c>
      <c r="F21" s="32" t="s">
        <v>15</v>
      </c>
      <c r="G21" s="28">
        <v>216001</v>
      </c>
      <c r="H21" s="25" t="str">
        <f>IF(G21&lt;=0,"",VLOOKUP(G21,[10]COG!A:H,2,0))</f>
        <v>Material de limpieza</v>
      </c>
      <c r="I21" s="10">
        <v>3587.5</v>
      </c>
      <c r="J21" s="10">
        <v>3587.5</v>
      </c>
      <c r="K21" s="10">
        <v>3587.5</v>
      </c>
      <c r="L21" s="10">
        <v>3587.5</v>
      </c>
      <c r="M21" s="27">
        <f>SUM(Tabla16[[#This Row],[TRIMESTRE  I]:[TRIMESTRE IV]])</f>
        <v>14350</v>
      </c>
      <c r="N21" s="33" t="s">
        <v>17</v>
      </c>
      <c r="O21" s="13" t="s">
        <v>71</v>
      </c>
      <c r="P21" s="8" t="s">
        <v>37</v>
      </c>
    </row>
    <row r="22" spans="1:16" ht="37.5" customHeight="1" x14ac:dyDescent="0.2">
      <c r="A22" s="30">
        <v>428033</v>
      </c>
      <c r="B22" s="4" t="s">
        <v>69</v>
      </c>
      <c r="C22" s="5">
        <v>530</v>
      </c>
      <c r="D22" s="24" t="str">
        <f>IF(C22&lt;=0,"",VLOOKUP(C22,[10]FF!A:D,2,0))</f>
        <v>PARTICIPACIONES Ramo 28</v>
      </c>
      <c r="E22" s="5" t="s">
        <v>77</v>
      </c>
      <c r="F22" s="32" t="s">
        <v>15</v>
      </c>
      <c r="G22" s="28">
        <v>216001</v>
      </c>
      <c r="H22" s="25" t="str">
        <f>IF(G22&lt;=0,"",VLOOKUP(G22,[10]COG!A:H,2,0))</f>
        <v>Material de limpieza</v>
      </c>
      <c r="I22" s="10">
        <v>7030</v>
      </c>
      <c r="J22" s="10">
        <v>7030</v>
      </c>
      <c r="K22" s="10">
        <v>7030</v>
      </c>
      <c r="L22" s="10">
        <v>7030</v>
      </c>
      <c r="M22" s="27">
        <f>SUM(Tabla16[[#This Row],[TRIMESTRE  I]:[TRIMESTRE IV]])</f>
        <v>28120</v>
      </c>
      <c r="N22" s="33" t="s">
        <v>17</v>
      </c>
      <c r="O22" s="13" t="s">
        <v>71</v>
      </c>
      <c r="P22" s="8" t="s">
        <v>37</v>
      </c>
    </row>
    <row r="23" spans="1:16" ht="37.5" customHeight="1" x14ac:dyDescent="0.2">
      <c r="A23" s="30">
        <v>429034</v>
      </c>
      <c r="B23" s="4" t="s">
        <v>69</v>
      </c>
      <c r="C23" s="5">
        <v>530</v>
      </c>
      <c r="D23" s="24" t="str">
        <f>IF(C23&lt;=0,"",VLOOKUP(C23,[10]FF!A:D,2,0))</f>
        <v>PARTICIPACIONES Ramo 28</v>
      </c>
      <c r="E23" s="5" t="s">
        <v>85</v>
      </c>
      <c r="F23" s="32" t="s">
        <v>15</v>
      </c>
      <c r="G23" s="28">
        <v>216001</v>
      </c>
      <c r="H23" s="25" t="str">
        <f>IF(G23&lt;=0,"",VLOOKUP(G23,[10]COG!A:H,2,0))</f>
        <v>Material de limpieza</v>
      </c>
      <c r="I23" s="10">
        <v>3772.5</v>
      </c>
      <c r="J23" s="10">
        <v>3772.5</v>
      </c>
      <c r="K23" s="10">
        <v>3772.5</v>
      </c>
      <c r="L23" s="10">
        <v>3772.5</v>
      </c>
      <c r="M23" s="27">
        <f>SUM(Tabla16[[#This Row],[TRIMESTRE  I]:[TRIMESTRE IV]])</f>
        <v>15090</v>
      </c>
      <c r="N23" s="33" t="s">
        <v>17</v>
      </c>
      <c r="O23" s="13" t="s">
        <v>71</v>
      </c>
      <c r="P23" s="28" t="s">
        <v>37</v>
      </c>
    </row>
    <row r="24" spans="1:16" ht="37.5" customHeight="1" x14ac:dyDescent="0.2">
      <c r="A24" s="30">
        <v>425026</v>
      </c>
      <c r="B24" s="4" t="s">
        <v>69</v>
      </c>
      <c r="C24" s="5">
        <v>530</v>
      </c>
      <c r="D24" s="24" t="str">
        <f>IF(C24&lt;=0,"",VLOOKUP(C24,[10]FF!A:D,2,0))</f>
        <v>PARTICIPACIONES Ramo 28</v>
      </c>
      <c r="E24" s="5" t="s">
        <v>70</v>
      </c>
      <c r="F24" s="32" t="s">
        <v>15</v>
      </c>
      <c r="G24" s="28">
        <v>212001</v>
      </c>
      <c r="H24" s="25" t="str">
        <f>IF(G24&lt;=0,"",VLOOKUP(G24,[10]COG!A:H,2,0))</f>
        <v>Material y útiles de impresión</v>
      </c>
      <c r="I24" s="10">
        <v>9552.1299999999992</v>
      </c>
      <c r="J24" s="10">
        <v>9552.1299999999992</v>
      </c>
      <c r="K24" s="10">
        <v>9552.1299999999992</v>
      </c>
      <c r="L24" s="10">
        <v>9552.1299999999992</v>
      </c>
      <c r="M24" s="27">
        <f>SUM(Tabla16[[#This Row],[TRIMESTRE  I]:[TRIMESTRE IV]])</f>
        <v>38208.519999999997</v>
      </c>
      <c r="N24" s="33" t="s">
        <v>19</v>
      </c>
      <c r="O24" s="13" t="s">
        <v>71</v>
      </c>
      <c r="P24" s="28" t="s">
        <v>86</v>
      </c>
    </row>
    <row r="25" spans="1:16" ht="37.5" customHeight="1" x14ac:dyDescent="0.2">
      <c r="A25" s="30">
        <v>425028</v>
      </c>
      <c r="B25" s="4" t="s">
        <v>69</v>
      </c>
      <c r="C25" s="5">
        <v>530</v>
      </c>
      <c r="D25" s="24" t="str">
        <f>IF(C25&lt;=0,"",VLOOKUP(C25,[10]FF!A:D,2,0))</f>
        <v>PARTICIPACIONES Ramo 28</v>
      </c>
      <c r="E25" s="5" t="s">
        <v>72</v>
      </c>
      <c r="F25" s="32" t="s">
        <v>15</v>
      </c>
      <c r="G25" s="28">
        <v>212001</v>
      </c>
      <c r="H25" s="25" t="str">
        <f>IF(G25&lt;=0,"",VLOOKUP(G25,[10]COG!A:H,2,0))</f>
        <v>Material y útiles de impresión</v>
      </c>
      <c r="I25" s="10">
        <v>8500</v>
      </c>
      <c r="J25" s="10">
        <v>8500</v>
      </c>
      <c r="K25" s="10">
        <v>8500</v>
      </c>
      <c r="L25" s="10">
        <v>8500</v>
      </c>
      <c r="M25" s="27">
        <f>SUM(Tabla16[[#This Row],[TRIMESTRE  I]:[TRIMESTRE IV]])</f>
        <v>34000</v>
      </c>
      <c r="N25" s="33" t="s">
        <v>19</v>
      </c>
      <c r="O25" s="13" t="s">
        <v>71</v>
      </c>
      <c r="P25" s="28" t="s">
        <v>86</v>
      </c>
    </row>
    <row r="26" spans="1:16" ht="37.5" customHeight="1" x14ac:dyDescent="0.2">
      <c r="A26" s="30">
        <v>426029</v>
      </c>
      <c r="B26" s="4" t="s">
        <v>69</v>
      </c>
      <c r="C26" s="5">
        <v>530</v>
      </c>
      <c r="D26" s="24" t="str">
        <f>IF(C26&lt;=0,"",VLOOKUP(C26,[10]FF!A:D,2,0))</f>
        <v>PARTICIPACIONES Ramo 28</v>
      </c>
      <c r="E26" s="5" t="s">
        <v>73</v>
      </c>
      <c r="F26" s="32" t="s">
        <v>15</v>
      </c>
      <c r="G26" s="28">
        <v>212001</v>
      </c>
      <c r="H26" s="25" t="str">
        <f>IF(G26&lt;=0,"",VLOOKUP(G26,[10]COG!A:H,2,0))</f>
        <v>Material y útiles de impresión</v>
      </c>
      <c r="I26" s="10">
        <v>27501</v>
      </c>
      <c r="J26" s="10">
        <v>27501</v>
      </c>
      <c r="K26" s="10">
        <v>27501</v>
      </c>
      <c r="L26" s="10">
        <v>27501</v>
      </c>
      <c r="M26" s="27">
        <f>SUM(Tabla16[[#This Row],[TRIMESTRE  I]:[TRIMESTRE IV]])</f>
        <v>110004</v>
      </c>
      <c r="N26" s="33" t="s">
        <v>19</v>
      </c>
      <c r="O26" s="13" t="s">
        <v>71</v>
      </c>
      <c r="P26" s="28" t="s">
        <v>86</v>
      </c>
    </row>
    <row r="27" spans="1:16" ht="37.5" customHeight="1" x14ac:dyDescent="0.2">
      <c r="A27" s="30">
        <v>427030</v>
      </c>
      <c r="B27" s="4" t="s">
        <v>69</v>
      </c>
      <c r="C27" s="5">
        <v>530</v>
      </c>
      <c r="D27" s="24" t="str">
        <f>IF(C27&lt;=0,"",VLOOKUP(C27,[10]FF!A:D,2,0))</f>
        <v>PARTICIPACIONES Ramo 28</v>
      </c>
      <c r="E27" s="5" t="s">
        <v>74</v>
      </c>
      <c r="F27" s="32" t="s">
        <v>15</v>
      </c>
      <c r="G27" s="28">
        <v>212001</v>
      </c>
      <c r="H27" s="25" t="str">
        <f>IF(G27&lt;=0,"",VLOOKUP(G27,[10]COG!A:H,2,0))</f>
        <v>Material y útiles de impresión</v>
      </c>
      <c r="I27" s="10">
        <v>8500</v>
      </c>
      <c r="J27" s="10">
        <v>8500</v>
      </c>
      <c r="K27" s="10">
        <v>8500</v>
      </c>
      <c r="L27" s="10">
        <v>8500</v>
      </c>
      <c r="M27" s="27">
        <f>SUM(Tabla16[[#This Row],[TRIMESTRE  I]:[TRIMESTRE IV]])</f>
        <v>34000</v>
      </c>
      <c r="N27" s="33" t="s">
        <v>19</v>
      </c>
      <c r="O27" s="13" t="s">
        <v>71</v>
      </c>
      <c r="P27" s="28" t="s">
        <v>86</v>
      </c>
    </row>
    <row r="28" spans="1:16" ht="37.5" customHeight="1" x14ac:dyDescent="0.2">
      <c r="A28" s="30">
        <v>427031</v>
      </c>
      <c r="B28" s="4" t="s">
        <v>69</v>
      </c>
      <c r="C28" s="5">
        <v>530</v>
      </c>
      <c r="D28" s="24" t="str">
        <f>IF(C28&lt;=0,"",VLOOKUP(C28,[10]FF!A:D,2,0))</f>
        <v>PARTICIPACIONES Ramo 28</v>
      </c>
      <c r="E28" s="5" t="s">
        <v>75</v>
      </c>
      <c r="F28" s="32" t="s">
        <v>15</v>
      </c>
      <c r="G28" s="28">
        <v>212001</v>
      </c>
      <c r="H28" s="25" t="str">
        <f>IF(G28&lt;=0,"",VLOOKUP(G28,[10]COG!A:H,2,0))</f>
        <v>Material y útiles de impresión</v>
      </c>
      <c r="I28" s="10">
        <v>384</v>
      </c>
      <c r="J28" s="10">
        <v>384</v>
      </c>
      <c r="K28" s="10">
        <v>384</v>
      </c>
      <c r="L28" s="10">
        <v>384</v>
      </c>
      <c r="M28" s="27">
        <f>SUM(Tabla16[[#This Row],[TRIMESTRE  I]:[TRIMESTRE IV]])</f>
        <v>1536</v>
      </c>
      <c r="N28" s="33" t="s">
        <v>19</v>
      </c>
      <c r="O28" s="13" t="s">
        <v>71</v>
      </c>
      <c r="P28" s="28" t="s">
        <v>86</v>
      </c>
    </row>
    <row r="29" spans="1:16" ht="37.5" customHeight="1" x14ac:dyDescent="0.2">
      <c r="A29" s="30">
        <v>427032</v>
      </c>
      <c r="B29" s="4" t="s">
        <v>69</v>
      </c>
      <c r="C29" s="5">
        <v>530</v>
      </c>
      <c r="D29" s="24" t="str">
        <f>IF(C29&lt;=0,"",VLOOKUP(C29,[10]FF!A:D,2,0))</f>
        <v>PARTICIPACIONES Ramo 28</v>
      </c>
      <c r="E29" s="5" t="s">
        <v>76</v>
      </c>
      <c r="F29" s="32" t="s">
        <v>15</v>
      </c>
      <c r="G29" s="28">
        <v>212001</v>
      </c>
      <c r="H29" s="25" t="str">
        <f>IF(G29&lt;=0,"",VLOOKUP(G29,[10]COG!A:H,2,0))</f>
        <v>Material y útiles de impresión</v>
      </c>
      <c r="I29" s="10">
        <v>384</v>
      </c>
      <c r="J29" s="10">
        <v>384</v>
      </c>
      <c r="K29" s="10">
        <v>384</v>
      </c>
      <c r="L29" s="10">
        <v>384</v>
      </c>
      <c r="M29" s="27">
        <f>SUM(Tabla16[[#This Row],[TRIMESTRE  I]:[TRIMESTRE IV]])</f>
        <v>1536</v>
      </c>
      <c r="N29" s="33" t="s">
        <v>19</v>
      </c>
      <c r="O29" s="13" t="s">
        <v>71</v>
      </c>
      <c r="P29" s="28" t="s">
        <v>86</v>
      </c>
    </row>
    <row r="30" spans="1:16" ht="37.5" customHeight="1" x14ac:dyDescent="0.2">
      <c r="A30" s="30">
        <v>428033</v>
      </c>
      <c r="B30" s="4" t="s">
        <v>69</v>
      </c>
      <c r="C30" s="5">
        <v>530</v>
      </c>
      <c r="D30" s="24" t="str">
        <f>IF(C30&lt;=0,"",VLOOKUP(C30,[10]FF!A:D,2,0))</f>
        <v>PARTICIPACIONES Ramo 28</v>
      </c>
      <c r="E30" s="5" t="s">
        <v>77</v>
      </c>
      <c r="F30" s="32" t="s">
        <v>15</v>
      </c>
      <c r="G30" s="28">
        <v>212001</v>
      </c>
      <c r="H30" s="25" t="str">
        <f>IF(G30&lt;=0,"",VLOOKUP(G30,[10]COG!A:H,2,0))</f>
        <v>Material y útiles de impresión</v>
      </c>
      <c r="I30" s="10">
        <v>5610</v>
      </c>
      <c r="J30" s="10">
        <v>5610</v>
      </c>
      <c r="K30" s="10">
        <v>5610</v>
      </c>
      <c r="L30" s="10">
        <v>5610</v>
      </c>
      <c r="M30" s="27">
        <f>SUM(Tabla16[[#This Row],[TRIMESTRE  I]:[TRIMESTRE IV]])</f>
        <v>22440</v>
      </c>
      <c r="N30" s="33" t="s">
        <v>19</v>
      </c>
      <c r="O30" s="13" t="s">
        <v>71</v>
      </c>
      <c r="P30" s="28" t="s">
        <v>86</v>
      </c>
    </row>
    <row r="31" spans="1:16" ht="37.5" customHeight="1" x14ac:dyDescent="0.2">
      <c r="A31" s="30">
        <v>429034</v>
      </c>
      <c r="B31" s="4" t="s">
        <v>69</v>
      </c>
      <c r="C31" s="5">
        <v>530</v>
      </c>
      <c r="D31" s="24" t="str">
        <f>IF(C31&lt;=0,"",VLOOKUP(C31,[10]FF!A:D,2,0))</f>
        <v>PARTICIPACIONES Ramo 28</v>
      </c>
      <c r="E31" s="5" t="s">
        <v>87</v>
      </c>
      <c r="F31" s="32" t="s">
        <v>15</v>
      </c>
      <c r="G31" s="28">
        <v>212001</v>
      </c>
      <c r="H31" s="25" t="str">
        <f>IF(G31&lt;=0,"",VLOOKUP(G31,[10]COG!A:H,2,0))</f>
        <v>Material y útiles de impresión</v>
      </c>
      <c r="I31" s="10">
        <v>4462.5</v>
      </c>
      <c r="J31" s="10">
        <v>4462.5</v>
      </c>
      <c r="K31" s="10">
        <v>4462.5</v>
      </c>
      <c r="L31" s="10">
        <v>4462.5</v>
      </c>
      <c r="M31" s="27">
        <f>SUM(Tabla16[[#This Row],[TRIMESTRE  I]:[TRIMESTRE IV]])</f>
        <v>17850</v>
      </c>
      <c r="N31" s="33" t="s">
        <v>19</v>
      </c>
      <c r="O31" s="13" t="s">
        <v>71</v>
      </c>
      <c r="P31" s="28" t="s">
        <v>86</v>
      </c>
    </row>
    <row r="32" spans="1:16" ht="37.5" customHeight="1" x14ac:dyDescent="0.2">
      <c r="A32" s="30">
        <v>425026</v>
      </c>
      <c r="B32" s="4" t="s">
        <v>69</v>
      </c>
      <c r="C32" s="5">
        <v>530</v>
      </c>
      <c r="D32" s="24" t="str">
        <f>IF(C32&lt;=0,"",VLOOKUP(C32,[10]FF!A:D,2,0))</f>
        <v>PARTICIPACIONES Ramo 28</v>
      </c>
      <c r="E32" s="5" t="s">
        <v>70</v>
      </c>
      <c r="F32" s="32" t="s">
        <v>15</v>
      </c>
      <c r="G32" s="28">
        <v>261001</v>
      </c>
      <c r="H32" s="25" t="str">
        <f>IF(G32&lt;=0,"",VLOOKUP(G32,[10]COG!A:H,2,0))</f>
        <v>Combustibles</v>
      </c>
      <c r="I32" s="10">
        <v>21600</v>
      </c>
      <c r="J32" s="10">
        <v>21600</v>
      </c>
      <c r="K32" s="10">
        <v>21600</v>
      </c>
      <c r="L32" s="10">
        <v>21600</v>
      </c>
      <c r="M32" s="27">
        <f>SUM(Tabla16[[#This Row],[TRIMESTRE  I]:[TRIMESTRE IV]])</f>
        <v>86400</v>
      </c>
      <c r="N32" s="33" t="s">
        <v>30</v>
      </c>
      <c r="O32" s="13" t="s">
        <v>71</v>
      </c>
      <c r="P32" s="28" t="s">
        <v>88</v>
      </c>
    </row>
    <row r="33" spans="1:16" ht="37.5" customHeight="1" x14ac:dyDescent="0.2">
      <c r="A33" s="30">
        <v>425027</v>
      </c>
      <c r="B33" s="4" t="s">
        <v>69</v>
      </c>
      <c r="C33" s="5">
        <v>530</v>
      </c>
      <c r="D33" s="24" t="str">
        <f>IF(C33&lt;=0,"",VLOOKUP(C33,[10]FF!A:D,2,0))</f>
        <v>PARTICIPACIONES Ramo 28</v>
      </c>
      <c r="E33" s="5" t="s">
        <v>83</v>
      </c>
      <c r="F33" s="32" t="s">
        <v>15</v>
      </c>
      <c r="G33" s="28">
        <v>261001</v>
      </c>
      <c r="H33" s="25" t="str">
        <f>IF(G33&lt;=0,"",VLOOKUP(G33,[10]COG!A:H,2,0))</f>
        <v>Combustibles</v>
      </c>
      <c r="I33" s="10">
        <v>4590</v>
      </c>
      <c r="J33" s="10">
        <v>4590</v>
      </c>
      <c r="K33" s="10">
        <v>4590</v>
      </c>
      <c r="L33" s="10">
        <v>4590</v>
      </c>
      <c r="M33" s="27">
        <f>SUM(Tabla16[[#This Row],[TRIMESTRE  I]:[TRIMESTRE IV]])</f>
        <v>18360</v>
      </c>
      <c r="N33" s="33" t="s">
        <v>30</v>
      </c>
      <c r="O33" s="13" t="s">
        <v>71</v>
      </c>
      <c r="P33" s="28" t="s">
        <v>88</v>
      </c>
    </row>
    <row r="34" spans="1:16" ht="37.5" customHeight="1" x14ac:dyDescent="0.2">
      <c r="A34" s="30">
        <v>425028</v>
      </c>
      <c r="B34" s="4" t="s">
        <v>69</v>
      </c>
      <c r="C34" s="5">
        <v>530</v>
      </c>
      <c r="D34" s="24" t="str">
        <f>IF(C34&lt;=0,"",VLOOKUP(C34,[10]FF!A:D,2,0))</f>
        <v>PARTICIPACIONES Ramo 28</v>
      </c>
      <c r="E34" s="5" t="s">
        <v>72</v>
      </c>
      <c r="F34" s="32" t="s">
        <v>15</v>
      </c>
      <c r="G34" s="28">
        <v>261001</v>
      </c>
      <c r="H34" s="25" t="str">
        <f>IF(G34&lt;=0,"",VLOOKUP(G34,[10]COG!A:H,2,0))</f>
        <v>Combustibles</v>
      </c>
      <c r="I34" s="10">
        <v>18090</v>
      </c>
      <c r="J34" s="10">
        <v>18090</v>
      </c>
      <c r="K34" s="10">
        <v>18090</v>
      </c>
      <c r="L34" s="10">
        <v>18090</v>
      </c>
      <c r="M34" s="27">
        <f>SUM(Tabla16[[#This Row],[TRIMESTRE  I]:[TRIMESTRE IV]])</f>
        <v>72360</v>
      </c>
      <c r="N34" s="33" t="s">
        <v>30</v>
      </c>
      <c r="O34" s="13" t="s">
        <v>71</v>
      </c>
      <c r="P34" s="28" t="s">
        <v>88</v>
      </c>
    </row>
    <row r="35" spans="1:16" ht="37.5" customHeight="1" x14ac:dyDescent="0.2">
      <c r="A35" s="30">
        <v>426029</v>
      </c>
      <c r="B35" s="4" t="s">
        <v>69</v>
      </c>
      <c r="C35" s="5">
        <v>530</v>
      </c>
      <c r="D35" s="24" t="str">
        <f>IF(C35&lt;=0,"",VLOOKUP(C35,[10]FF!A:D,2,0))</f>
        <v>PARTICIPACIONES Ramo 28</v>
      </c>
      <c r="E35" s="5" t="s">
        <v>73</v>
      </c>
      <c r="F35" s="32" t="s">
        <v>15</v>
      </c>
      <c r="G35" s="28">
        <v>261001</v>
      </c>
      <c r="H35" s="25" t="str">
        <f>IF(G35&lt;=0,"",VLOOKUP(G35,[10]COG!A:H,2,0))</f>
        <v>Combustibles</v>
      </c>
      <c r="I35" s="10">
        <v>54000</v>
      </c>
      <c r="J35" s="10">
        <v>54000</v>
      </c>
      <c r="K35" s="10">
        <v>54000</v>
      </c>
      <c r="L35" s="10">
        <v>54000</v>
      </c>
      <c r="M35" s="27">
        <f>SUM(Tabla16[[#This Row],[TRIMESTRE  I]:[TRIMESTRE IV]])</f>
        <v>216000</v>
      </c>
      <c r="N35" s="33" t="s">
        <v>30</v>
      </c>
      <c r="O35" s="13" t="s">
        <v>71</v>
      </c>
      <c r="P35" s="28" t="s">
        <v>88</v>
      </c>
    </row>
    <row r="36" spans="1:16" ht="37.5" customHeight="1" x14ac:dyDescent="0.2">
      <c r="A36" s="30">
        <v>427030</v>
      </c>
      <c r="B36" s="4" t="s">
        <v>69</v>
      </c>
      <c r="C36" s="5">
        <v>530</v>
      </c>
      <c r="D36" s="24" t="str">
        <f>IF(C36&lt;=0,"",VLOOKUP(C36,[10]FF!A:D,2,0))</f>
        <v>PARTICIPACIONES Ramo 28</v>
      </c>
      <c r="E36" s="5" t="s">
        <v>74</v>
      </c>
      <c r="F36" s="32" t="s">
        <v>15</v>
      </c>
      <c r="G36" s="28">
        <v>261001</v>
      </c>
      <c r="H36" s="25" t="str">
        <f>IF(G36&lt;=0,"",VLOOKUP(G36,[10]COG!A:H,2,0))</f>
        <v>Combustibles</v>
      </c>
      <c r="I36" s="10">
        <v>16290</v>
      </c>
      <c r="J36" s="10">
        <v>16290</v>
      </c>
      <c r="K36" s="10">
        <v>16290</v>
      </c>
      <c r="L36" s="10">
        <v>16290</v>
      </c>
      <c r="M36" s="27">
        <f>SUM(Tabla16[[#This Row],[TRIMESTRE  I]:[TRIMESTRE IV]])</f>
        <v>65160</v>
      </c>
      <c r="N36" s="33" t="s">
        <v>30</v>
      </c>
      <c r="O36" s="13" t="s">
        <v>71</v>
      </c>
      <c r="P36" s="28" t="s">
        <v>88</v>
      </c>
    </row>
    <row r="37" spans="1:16" ht="37.5" customHeight="1" x14ac:dyDescent="0.2">
      <c r="A37" s="30">
        <v>428033</v>
      </c>
      <c r="B37" s="4" t="s">
        <v>69</v>
      </c>
      <c r="C37" s="5">
        <v>530</v>
      </c>
      <c r="D37" s="24" t="str">
        <f>IF(C37&lt;=0,"",VLOOKUP(C37,[10]FF!A:D,2,0))</f>
        <v>PARTICIPACIONES Ramo 28</v>
      </c>
      <c r="E37" s="5" t="s">
        <v>77</v>
      </c>
      <c r="F37" s="32" t="s">
        <v>15</v>
      </c>
      <c r="G37" s="28">
        <v>261001</v>
      </c>
      <c r="H37" s="25" t="str">
        <f>IF(G37&lt;=0,"",VLOOKUP(G37,[10]COG!A:H,2,0))</f>
        <v>Combustibles</v>
      </c>
      <c r="I37" s="10">
        <v>1350</v>
      </c>
      <c r="J37" s="10">
        <v>1350</v>
      </c>
      <c r="K37" s="10">
        <v>1350</v>
      </c>
      <c r="L37" s="10">
        <v>1350</v>
      </c>
      <c r="M37" s="27">
        <f>SUM(Tabla16[[#This Row],[TRIMESTRE  I]:[TRIMESTRE IV]])</f>
        <v>5400</v>
      </c>
      <c r="N37" s="33" t="s">
        <v>30</v>
      </c>
      <c r="O37" s="13" t="s">
        <v>71</v>
      </c>
      <c r="P37" s="28" t="s">
        <v>88</v>
      </c>
    </row>
    <row r="38" spans="1:16" ht="37.5" customHeight="1" x14ac:dyDescent="0.2">
      <c r="A38" s="30">
        <v>429034</v>
      </c>
      <c r="B38" s="4" t="s">
        <v>69</v>
      </c>
      <c r="C38" s="5">
        <v>530</v>
      </c>
      <c r="D38" s="24" t="str">
        <f>IF(C38&lt;=0,"",VLOOKUP(C38,[10]FF!A:D,2,0))</f>
        <v>PARTICIPACIONES Ramo 28</v>
      </c>
      <c r="E38" s="5" t="s">
        <v>87</v>
      </c>
      <c r="F38" s="32" t="s">
        <v>15</v>
      </c>
      <c r="G38" s="28">
        <v>261001</v>
      </c>
      <c r="H38" s="25" t="str">
        <f>IF(G38&lt;=0,"",VLOOKUP(G38,[10]COG!A:H,2,0))</f>
        <v>Combustibles</v>
      </c>
      <c r="I38" s="10">
        <v>4400</v>
      </c>
      <c r="J38" s="10">
        <v>4400</v>
      </c>
      <c r="K38" s="10">
        <v>4400</v>
      </c>
      <c r="L38" s="10">
        <v>4400</v>
      </c>
      <c r="M38" s="27">
        <f>SUM(Tabla16[[#This Row],[TRIMESTRE  I]:[TRIMESTRE IV]])</f>
        <v>17600</v>
      </c>
      <c r="N38" s="33" t="s">
        <v>30</v>
      </c>
      <c r="O38" s="13" t="s">
        <v>71</v>
      </c>
      <c r="P38" s="28" t="s">
        <v>88</v>
      </c>
    </row>
    <row r="39" spans="1:16" ht="37.5" customHeight="1" x14ac:dyDescent="0.2">
      <c r="A39" s="30">
        <v>429035</v>
      </c>
      <c r="B39" s="4" t="s">
        <v>69</v>
      </c>
      <c r="C39" s="5">
        <v>530</v>
      </c>
      <c r="D39" s="24" t="str">
        <f>IF(C39&lt;=0,"",VLOOKUP(C39,[10]FF!A:D,2,0))</f>
        <v>PARTICIPACIONES Ramo 28</v>
      </c>
      <c r="E39" s="5" t="s">
        <v>79</v>
      </c>
      <c r="F39" s="32" t="s">
        <v>15</v>
      </c>
      <c r="G39" s="28">
        <v>261001</v>
      </c>
      <c r="H39" s="25" t="str">
        <f>IF(G39&lt;=0,"",VLOOKUP(G39,[10]COG!A:H,2,0))</f>
        <v>Combustibles</v>
      </c>
      <c r="I39" s="10">
        <v>2925</v>
      </c>
      <c r="J39" s="10">
        <v>2925</v>
      </c>
      <c r="K39" s="10">
        <v>2925</v>
      </c>
      <c r="L39" s="10">
        <v>2925</v>
      </c>
      <c r="M39" s="27">
        <f>SUM(Tabla16[[#This Row],[TRIMESTRE  I]:[TRIMESTRE IV]])</f>
        <v>11700</v>
      </c>
      <c r="N39" s="33" t="s">
        <v>30</v>
      </c>
      <c r="O39" s="13" t="s">
        <v>71</v>
      </c>
      <c r="P39" s="28" t="s">
        <v>88</v>
      </c>
    </row>
    <row r="40" spans="1:16" ht="37.5" customHeight="1" x14ac:dyDescent="0.2">
      <c r="A40" s="30">
        <v>430037</v>
      </c>
      <c r="B40" s="4" t="s">
        <v>69</v>
      </c>
      <c r="C40" s="5">
        <v>530</v>
      </c>
      <c r="D40" s="24" t="str">
        <f>IF(C40&lt;=0,"",VLOOKUP(C40,[10]FF!A:D,2,0))</f>
        <v>PARTICIPACIONES Ramo 28</v>
      </c>
      <c r="E40" s="5" t="s">
        <v>81</v>
      </c>
      <c r="F40" s="32" t="s">
        <v>15</v>
      </c>
      <c r="G40" s="28">
        <v>261001</v>
      </c>
      <c r="H40" s="25" t="str">
        <f>IF(G40&lt;=0,"",VLOOKUP(G40,[10]COG!A:H,2,0))</f>
        <v>Combustibles</v>
      </c>
      <c r="I40" s="10">
        <v>2700</v>
      </c>
      <c r="J40" s="10">
        <v>2700</v>
      </c>
      <c r="K40" s="10">
        <v>2700</v>
      </c>
      <c r="L40" s="10">
        <v>2700</v>
      </c>
      <c r="M40" s="27">
        <f>SUM(Tabla16[[#This Row],[TRIMESTRE  I]:[TRIMESTRE IV]])</f>
        <v>10800</v>
      </c>
      <c r="N40" s="33" t="s">
        <v>30</v>
      </c>
      <c r="O40" s="13" t="s">
        <v>71</v>
      </c>
      <c r="P40" s="28" t="s">
        <v>88</v>
      </c>
    </row>
    <row r="41" spans="1:16" ht="37.5" customHeight="1" x14ac:dyDescent="0.2">
      <c r="A41" s="30">
        <v>431038</v>
      </c>
      <c r="B41" s="4" t="s">
        <v>69</v>
      </c>
      <c r="C41" s="5">
        <v>530</v>
      </c>
      <c r="D41" s="24" t="str">
        <f>IF(C41&lt;=0,"",VLOOKUP(C41,[10]FF!A:D,2,0))</f>
        <v>PARTICIPACIONES Ramo 28</v>
      </c>
      <c r="E41" s="5" t="s">
        <v>82</v>
      </c>
      <c r="F41" s="32" t="s">
        <v>15</v>
      </c>
      <c r="G41" s="28">
        <v>261001</v>
      </c>
      <c r="H41" s="25" t="str">
        <f>IF(G41&lt;=0,"",VLOOKUP(G41,[10]COG!A:H,2,0))</f>
        <v>Combustibles</v>
      </c>
      <c r="I41" s="10">
        <v>2728.5</v>
      </c>
      <c r="J41" s="10">
        <v>2728.5</v>
      </c>
      <c r="K41" s="10">
        <v>2728.5</v>
      </c>
      <c r="L41" s="10">
        <v>2728.5</v>
      </c>
      <c r="M41" s="27">
        <f>SUM(Tabla16[[#This Row],[TRIMESTRE  I]:[TRIMESTRE IV]])</f>
        <v>10914</v>
      </c>
      <c r="N41" s="33" t="s">
        <v>30</v>
      </c>
      <c r="O41" s="13" t="s">
        <v>71</v>
      </c>
      <c r="P41" s="28" t="s">
        <v>88</v>
      </c>
    </row>
    <row r="42" spans="1:16" ht="37.5" customHeight="1" x14ac:dyDescent="0.2">
      <c r="A42" s="30">
        <v>425026</v>
      </c>
      <c r="B42" s="4" t="s">
        <v>69</v>
      </c>
      <c r="C42" s="5">
        <v>530</v>
      </c>
      <c r="D42" s="24" t="str">
        <f>IF(C42&lt;=0,"",VLOOKUP(C42,[10]FF!A:D,2,0))</f>
        <v>PARTICIPACIONES Ramo 28</v>
      </c>
      <c r="E42" s="5" t="s">
        <v>70</v>
      </c>
      <c r="F42" s="32" t="s">
        <v>22</v>
      </c>
      <c r="G42" s="28">
        <v>323001</v>
      </c>
      <c r="H42" s="25" t="str">
        <f>IF(G42&lt;=0,"",VLOOKUP(G42,[10]COG!A:H,2,0))</f>
        <v>Arrendamiento de maquinaria y equipo</v>
      </c>
      <c r="I42" s="10">
        <v>15000</v>
      </c>
      <c r="J42" s="10">
        <v>15000</v>
      </c>
      <c r="K42" s="10">
        <v>15000</v>
      </c>
      <c r="L42" s="10">
        <v>15000</v>
      </c>
      <c r="M42" s="27">
        <f>SUM(Tabla16[[#This Row],[TRIMESTRE  I]:[TRIMESTRE IV]])</f>
        <v>60000</v>
      </c>
      <c r="N42" s="33" t="s">
        <v>30</v>
      </c>
      <c r="O42" s="13" t="s">
        <v>71</v>
      </c>
      <c r="P42" s="28" t="s">
        <v>88</v>
      </c>
    </row>
    <row r="43" spans="1:16" ht="37.5" customHeight="1" x14ac:dyDescent="0.2">
      <c r="A43" s="30">
        <v>426029</v>
      </c>
      <c r="B43" s="4" t="s">
        <v>69</v>
      </c>
      <c r="C43" s="5">
        <v>530</v>
      </c>
      <c r="D43" s="24" t="str">
        <f>IF(C43&lt;=0,"",VLOOKUP(C43,[10]FF!A:D,2,0))</f>
        <v>PARTICIPACIONES Ramo 28</v>
      </c>
      <c r="E43" s="5" t="s">
        <v>73</v>
      </c>
      <c r="F43" s="32" t="s">
        <v>22</v>
      </c>
      <c r="G43" s="28">
        <v>323001</v>
      </c>
      <c r="H43" s="25" t="str">
        <f>IF(G43&lt;=0,"",VLOOKUP(G43,[10]COG!A:H,2,0))</f>
        <v>Arrendamiento de maquinaria y equipo</v>
      </c>
      <c r="I43" s="10">
        <v>17370.5</v>
      </c>
      <c r="J43" s="10">
        <v>17370.5</v>
      </c>
      <c r="K43" s="10">
        <v>17370.5</v>
      </c>
      <c r="L43" s="10">
        <v>17370.5</v>
      </c>
      <c r="M43" s="27">
        <f>SUM(Tabla16[[#This Row],[TRIMESTRE  I]:[TRIMESTRE IV]])</f>
        <v>69482</v>
      </c>
      <c r="N43" s="33" t="s">
        <v>30</v>
      </c>
      <c r="O43" s="13" t="s">
        <v>71</v>
      </c>
      <c r="P43" s="28" t="s">
        <v>88</v>
      </c>
    </row>
    <row r="44" spans="1:16" ht="37.5" customHeight="1" x14ac:dyDescent="0.2">
      <c r="A44" s="30">
        <v>428033</v>
      </c>
      <c r="B44" s="4" t="s">
        <v>69</v>
      </c>
      <c r="C44" s="5">
        <v>530</v>
      </c>
      <c r="D44" s="24" t="str">
        <f>IF(C44&lt;=0,"",VLOOKUP(C44,[10]FF!A:D,2,0))</f>
        <v>PARTICIPACIONES Ramo 28</v>
      </c>
      <c r="E44" s="5" t="s">
        <v>77</v>
      </c>
      <c r="F44" s="32" t="s">
        <v>22</v>
      </c>
      <c r="G44" s="28">
        <v>323001</v>
      </c>
      <c r="H44" s="25" t="str">
        <f>IF(G44&lt;=0,"",VLOOKUP(G44,[10]COG!A:H,2,0))</f>
        <v>Arrendamiento de maquinaria y equipo</v>
      </c>
      <c r="I44" s="10">
        <v>6000</v>
      </c>
      <c r="J44" s="10">
        <v>6000</v>
      </c>
      <c r="K44" s="10">
        <v>6000</v>
      </c>
      <c r="L44" s="10">
        <v>6000</v>
      </c>
      <c r="M44" s="27">
        <f>SUM(Tabla16[[#This Row],[TRIMESTRE  I]:[TRIMESTRE IV]])</f>
        <v>24000</v>
      </c>
      <c r="N44" s="33" t="s">
        <v>30</v>
      </c>
      <c r="O44" s="13" t="s">
        <v>71</v>
      </c>
      <c r="P44" s="28" t="s">
        <v>88</v>
      </c>
    </row>
    <row r="45" spans="1:16" ht="37.5" customHeight="1" x14ac:dyDescent="0.2">
      <c r="A45" s="30">
        <v>429034</v>
      </c>
      <c r="B45" s="4" t="s">
        <v>69</v>
      </c>
      <c r="C45" s="5">
        <v>530</v>
      </c>
      <c r="D45" s="24" t="str">
        <f>IF(C45&lt;=0,"",VLOOKUP(C45,[10]FF!A:D,2,0))</f>
        <v>PARTICIPACIONES Ramo 28</v>
      </c>
      <c r="E45" s="5" t="s">
        <v>85</v>
      </c>
      <c r="F45" s="32" t="s">
        <v>22</v>
      </c>
      <c r="G45" s="28">
        <v>323001</v>
      </c>
      <c r="H45" s="25" t="str">
        <f>IF(G45&lt;=0,"",VLOOKUP(G45,[10]COG!A:H,2,0))</f>
        <v>Arrendamiento de maquinaria y equipo</v>
      </c>
      <c r="I45" s="10">
        <v>9573</v>
      </c>
      <c r="J45" s="10">
        <v>9573</v>
      </c>
      <c r="K45" s="10">
        <v>9573</v>
      </c>
      <c r="L45" s="10">
        <v>9573</v>
      </c>
      <c r="M45" s="27">
        <f>SUM(Tabla16[[#This Row],[TRIMESTRE  I]:[TRIMESTRE IV]])</f>
        <v>38292</v>
      </c>
      <c r="N45" s="33" t="s">
        <v>30</v>
      </c>
      <c r="O45" s="13" t="s">
        <v>71</v>
      </c>
      <c r="P45" s="28" t="s">
        <v>88</v>
      </c>
    </row>
    <row r="46" spans="1:16" s="108" customFormat="1" ht="37.5" customHeight="1" thickBot="1" x14ac:dyDescent="0.25">
      <c r="A46" s="97"/>
      <c r="B46" s="98"/>
      <c r="C46" s="99"/>
      <c r="D46" s="100"/>
      <c r="E46" s="99"/>
      <c r="F46" s="99"/>
      <c r="G46" s="101"/>
      <c r="H46" s="102" t="s">
        <v>32</v>
      </c>
      <c r="I46" s="103"/>
      <c r="J46" s="103"/>
      <c r="K46" s="104"/>
      <c r="L46" s="103"/>
      <c r="M46" s="105">
        <f>SUBTOTAL(109,Tabla16[[PRESUPUESTO ANUAL AUTORIZADO ]])</f>
        <v>1969906.92</v>
      </c>
      <c r="N46" s="103"/>
      <c r="O46" s="103"/>
      <c r="P46" s="101"/>
    </row>
    <row r="47" spans="1:16" ht="37.5" customHeight="1" thickTop="1" x14ac:dyDescent="0.2"/>
    <row r="49" spans="13:13" ht="37.5" customHeight="1" x14ac:dyDescent="0.2">
      <c r="M49" s="29"/>
    </row>
  </sheetData>
  <protectedRanges>
    <protectedRange algorithmName="SHA-512" hashValue="Lst7hsT/mUUQvFsOUalIdMZhSjExDj/C7u4r1gIjHREwBj16N7lqODQ0CY6n+RXalo774Zm4aYZKVBS0n4XIeg==" saltValue="KfnRR/cqfK967zBK52Zr6A==" spinCount="100000" sqref="A5:C46" name="EDITABLE 1"/>
    <protectedRange algorithmName="SHA-512" hashValue="pJNw8ysPJcfMEDlzTgza0siiHuU4FkUpIzbuTX325DFaYD5nL5ng0z0JoIGpE+CYch2hq/LccMqSM51MpHojPQ==" saltValue="xv9nj4u85CXs/Kmy5tmlKw==" spinCount="100000" sqref="E5:G46" name="EDITABLE 2"/>
    <protectedRange algorithmName="SHA-512" hashValue="ytsoXFfC1+WmXVaa1/e6XfcZ7vPjNmSnuZe33NqN4NcqbRxNJdzSGuklMRpskJNPYNNz1yZQe585JE4aSLisOg==" saltValue="/jSLFmNX0mB2vn2qhSJbtw==" spinCount="100000" sqref="I5:L46" name="EDITABLE 3"/>
    <protectedRange algorithmName="SHA-512" hashValue="CVDb5J/0TlFD03lqit9XaA7LbCMGvWLCsduA3v8dImZEGhWfzgZ6Dg6bkjbAbJm1bYAcMLcpovU/dJmuMze5jw==" saltValue="QZ4X9aU2cO4/tAPW6011Dw==" spinCount="100000" sqref="N5:P46" name="EDITABLE 4"/>
  </protectedRanges>
  <mergeCells count="3">
    <mergeCell ref="A1:P1"/>
    <mergeCell ref="A2:P2"/>
    <mergeCell ref="A3:P3"/>
  </mergeCells>
  <dataValidations count="2">
    <dataValidation type="list" allowBlank="1" showInputMessage="1" showErrorMessage="1" sqref="G5:G45" xr:uid="{0986E29B-0B33-4C21-B7B5-7A99063CCA04}">
      <formula1>INDIRECT(F5)</formula1>
    </dataValidation>
    <dataValidation type="list" allowBlank="1" showInputMessage="1" showErrorMessage="1" sqref="F5:F45" xr:uid="{09C2276D-6AAD-42A5-A5BE-68031BE2FF2A}">
      <formula1>CAPITULOS</formula1>
    </dataValidation>
  </dataValidations>
  <pageMargins left="0.23622047244094491" right="0.23622047244094491" top="0.35433070866141736" bottom="0.27559055118110237" header="0.31496062992125984" footer="0.31496062992125984"/>
  <pageSetup paperSize="5" scale="65" orientation="landscape" r:id="rId1"/>
  <rowBreaks count="1" manualBreakCount="1">
    <brk id="39" max="16383" man="1"/>
  </rowBreaks>
  <drawing r:id="rId2"/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4714A9-8F7A-4B8C-B5A5-AB53347F3D28}">
  <sheetPr>
    <tabColor rgb="FF00B050"/>
    <pageSetUpPr fitToPage="1"/>
  </sheetPr>
  <dimension ref="A1:P22"/>
  <sheetViews>
    <sheetView zoomScaleNormal="100" workbookViewId="0">
      <pane ySplit="4" topLeftCell="A14" activePane="bottomLeft" state="frozen"/>
      <selection activeCell="L24" sqref="L24"/>
      <selection pane="bottomLeft" activeCell="L24" sqref="L24"/>
    </sheetView>
  </sheetViews>
  <sheetFormatPr baseColWidth="10" defaultColWidth="11.42578125" defaultRowHeight="37.5" customHeight="1" x14ac:dyDescent="0.2"/>
  <cols>
    <col min="1" max="1" width="10.28515625" style="1" customWidth="1"/>
    <col min="2" max="2" width="17.5703125" style="1" customWidth="1"/>
    <col min="3" max="3" width="18.140625" style="1" customWidth="1"/>
    <col min="4" max="4" width="17.42578125" style="1" customWidth="1"/>
    <col min="5" max="5" width="14.7109375" style="1" customWidth="1"/>
    <col min="6" max="6" width="12.85546875" style="1" customWidth="1"/>
    <col min="7" max="7" width="13" style="1" customWidth="1"/>
    <col min="8" max="8" width="24" style="1" customWidth="1"/>
    <col min="9" max="12" width="14.85546875" style="1" bestFit="1" customWidth="1"/>
    <col min="13" max="13" width="19" style="1" customWidth="1"/>
    <col min="14" max="15" width="21.7109375" style="1" customWidth="1"/>
    <col min="16" max="16" width="15.5703125" style="1" customWidth="1"/>
    <col min="17" max="16384" width="11.42578125" style="1"/>
  </cols>
  <sheetData>
    <row r="1" spans="1:16" ht="22.5" customHeight="1" x14ac:dyDescent="0.2">
      <c r="A1" s="115" t="s">
        <v>24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</row>
    <row r="2" spans="1:16" ht="18.75" customHeight="1" x14ac:dyDescent="0.2">
      <c r="A2" s="116" t="s">
        <v>89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</row>
    <row r="3" spans="1:16" ht="32.25" customHeight="1" x14ac:dyDescent="0.2">
      <c r="A3" s="117" t="s">
        <v>25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</row>
    <row r="4" spans="1:16" s="2" customFormat="1" ht="48" customHeight="1" x14ac:dyDescent="0.2">
      <c r="A4" s="72" t="s">
        <v>0</v>
      </c>
      <c r="B4" s="72" t="s">
        <v>1</v>
      </c>
      <c r="C4" s="72" t="s">
        <v>2</v>
      </c>
      <c r="D4" s="72" t="s">
        <v>3</v>
      </c>
      <c r="E4" s="72" t="s">
        <v>4</v>
      </c>
      <c r="F4" s="72" t="s">
        <v>5</v>
      </c>
      <c r="G4" s="72" t="s">
        <v>6</v>
      </c>
      <c r="H4" s="72" t="s">
        <v>7</v>
      </c>
      <c r="I4" s="72" t="s">
        <v>26</v>
      </c>
      <c r="J4" s="72" t="s">
        <v>8</v>
      </c>
      <c r="K4" s="72" t="s">
        <v>9</v>
      </c>
      <c r="L4" s="72" t="s">
        <v>10</v>
      </c>
      <c r="M4" s="72" t="s">
        <v>27</v>
      </c>
      <c r="N4" s="72" t="s">
        <v>11</v>
      </c>
      <c r="O4" s="72" t="s">
        <v>12</v>
      </c>
      <c r="P4" s="72" t="s">
        <v>13</v>
      </c>
    </row>
    <row r="5" spans="1:16" ht="37.5" customHeight="1" x14ac:dyDescent="0.2">
      <c r="A5" s="3">
        <v>801</v>
      </c>
      <c r="B5" s="4" t="s">
        <v>90</v>
      </c>
      <c r="C5" s="5">
        <v>530</v>
      </c>
      <c r="D5" s="46" t="s">
        <v>14</v>
      </c>
      <c r="E5" s="5" t="s">
        <v>91</v>
      </c>
      <c r="F5" s="5" t="s">
        <v>15</v>
      </c>
      <c r="G5" s="8">
        <v>211001</v>
      </c>
      <c r="H5" s="45" t="s">
        <v>16</v>
      </c>
      <c r="I5" s="12">
        <v>30000</v>
      </c>
      <c r="J5" s="12">
        <v>35000</v>
      </c>
      <c r="K5" s="12">
        <v>35000</v>
      </c>
      <c r="L5" s="12">
        <v>25000</v>
      </c>
      <c r="M5" s="11">
        <v>125000</v>
      </c>
      <c r="N5" s="12"/>
      <c r="O5" s="13"/>
      <c r="P5" s="8"/>
    </row>
    <row r="6" spans="1:16" ht="37.5" customHeight="1" x14ac:dyDescent="0.2">
      <c r="A6" s="3">
        <v>801</v>
      </c>
      <c r="B6" s="4" t="s">
        <v>90</v>
      </c>
      <c r="C6" s="5">
        <v>530</v>
      </c>
      <c r="D6" s="46" t="s">
        <v>14</v>
      </c>
      <c r="E6" s="5" t="s">
        <v>91</v>
      </c>
      <c r="F6" s="5" t="s">
        <v>15</v>
      </c>
      <c r="G6" s="8">
        <v>214001</v>
      </c>
      <c r="H6" s="45" t="s">
        <v>92</v>
      </c>
      <c r="I6" s="12">
        <v>4000</v>
      </c>
      <c r="J6" s="12">
        <v>3000</v>
      </c>
      <c r="K6" s="12">
        <v>2000</v>
      </c>
      <c r="L6" s="12">
        <v>1000</v>
      </c>
      <c r="M6" s="11">
        <v>10000</v>
      </c>
      <c r="N6" s="12"/>
      <c r="O6" s="13"/>
      <c r="P6" s="8"/>
    </row>
    <row r="7" spans="1:16" ht="37.5" customHeight="1" x14ac:dyDescent="0.2">
      <c r="A7" s="3">
        <v>801</v>
      </c>
      <c r="B7" s="4" t="s">
        <v>90</v>
      </c>
      <c r="C7" s="5">
        <v>530</v>
      </c>
      <c r="D7" s="46" t="s">
        <v>14</v>
      </c>
      <c r="E7" s="5" t="s">
        <v>91</v>
      </c>
      <c r="F7" s="5" t="s">
        <v>15</v>
      </c>
      <c r="G7" s="8">
        <v>216001</v>
      </c>
      <c r="H7" s="45" t="s">
        <v>18</v>
      </c>
      <c r="I7" s="12">
        <v>35000</v>
      </c>
      <c r="J7" s="12">
        <v>25000</v>
      </c>
      <c r="K7" s="12">
        <v>20000</v>
      </c>
      <c r="L7" s="12">
        <v>11500</v>
      </c>
      <c r="M7" s="11">
        <v>91500</v>
      </c>
      <c r="N7" s="12"/>
      <c r="O7" s="13"/>
      <c r="P7" s="8"/>
    </row>
    <row r="8" spans="1:16" ht="37.5" customHeight="1" x14ac:dyDescent="0.2">
      <c r="A8" s="3">
        <v>801</v>
      </c>
      <c r="B8" s="4" t="s">
        <v>90</v>
      </c>
      <c r="C8" s="5">
        <v>530</v>
      </c>
      <c r="D8" s="46" t="s">
        <v>14</v>
      </c>
      <c r="E8" s="5" t="s">
        <v>91</v>
      </c>
      <c r="F8" s="5" t="s">
        <v>15</v>
      </c>
      <c r="G8" s="8">
        <v>221001</v>
      </c>
      <c r="H8" s="45" t="s">
        <v>93</v>
      </c>
      <c r="I8" s="12">
        <v>774586</v>
      </c>
      <c r="J8" s="12">
        <v>742640</v>
      </c>
      <c r="K8" s="12">
        <v>662400</v>
      </c>
      <c r="L8" s="12">
        <v>776140</v>
      </c>
      <c r="M8" s="11">
        <v>2955766</v>
      </c>
      <c r="N8" s="12"/>
      <c r="O8" s="13"/>
      <c r="P8" s="8"/>
    </row>
    <row r="9" spans="1:16" ht="37.5" customHeight="1" x14ac:dyDescent="0.2">
      <c r="A9" s="3">
        <v>801</v>
      </c>
      <c r="B9" s="4" t="s">
        <v>90</v>
      </c>
      <c r="C9" s="5">
        <v>530</v>
      </c>
      <c r="D9" s="46" t="s">
        <v>14</v>
      </c>
      <c r="E9" s="5" t="s">
        <v>91</v>
      </c>
      <c r="F9" s="5" t="s">
        <v>15</v>
      </c>
      <c r="G9" s="8">
        <v>223001</v>
      </c>
      <c r="H9" s="45" t="s">
        <v>94</v>
      </c>
      <c r="I9" s="12">
        <v>2000</v>
      </c>
      <c r="J9" s="12">
        <v>2000</v>
      </c>
      <c r="K9" s="12">
        <v>1000</v>
      </c>
      <c r="L9" s="12">
        <v>0</v>
      </c>
      <c r="M9" s="11">
        <v>5000</v>
      </c>
      <c r="N9" s="12"/>
      <c r="O9" s="13"/>
      <c r="P9" s="8"/>
    </row>
    <row r="10" spans="1:16" ht="37.5" customHeight="1" x14ac:dyDescent="0.2">
      <c r="A10" s="3">
        <v>801</v>
      </c>
      <c r="B10" s="4" t="s">
        <v>90</v>
      </c>
      <c r="C10" s="5">
        <v>530</v>
      </c>
      <c r="D10" s="46" t="s">
        <v>14</v>
      </c>
      <c r="E10" s="5" t="s">
        <v>91</v>
      </c>
      <c r="F10" s="5" t="s">
        <v>15</v>
      </c>
      <c r="G10" s="8">
        <v>246001</v>
      </c>
      <c r="H10" s="45" t="s">
        <v>95</v>
      </c>
      <c r="I10" s="12">
        <v>7000</v>
      </c>
      <c r="J10" s="12">
        <v>2000</v>
      </c>
      <c r="K10" s="12">
        <v>1000</v>
      </c>
      <c r="L10" s="12">
        <v>0</v>
      </c>
      <c r="M10" s="11">
        <v>10000</v>
      </c>
      <c r="N10" s="12"/>
      <c r="O10" s="13"/>
      <c r="P10" s="8"/>
    </row>
    <row r="11" spans="1:16" ht="37.5" customHeight="1" x14ac:dyDescent="0.2">
      <c r="A11" s="3">
        <v>801</v>
      </c>
      <c r="B11" s="4" t="s">
        <v>90</v>
      </c>
      <c r="C11" s="5">
        <v>530</v>
      </c>
      <c r="D11" s="46" t="s">
        <v>14</v>
      </c>
      <c r="E11" s="5" t="s">
        <v>91</v>
      </c>
      <c r="F11" s="5" t="s">
        <v>15</v>
      </c>
      <c r="G11" s="8">
        <v>261001</v>
      </c>
      <c r="H11" s="45" t="s">
        <v>46</v>
      </c>
      <c r="I11" s="12">
        <v>10500</v>
      </c>
      <c r="J11" s="12">
        <v>6000</v>
      </c>
      <c r="K11" s="12">
        <v>6650</v>
      </c>
      <c r="L11" s="12">
        <v>6000</v>
      </c>
      <c r="M11" s="11">
        <v>29150</v>
      </c>
      <c r="N11" s="12"/>
      <c r="O11" s="13"/>
      <c r="P11" s="8"/>
    </row>
    <row r="12" spans="1:16" ht="37.5" customHeight="1" x14ac:dyDescent="0.2">
      <c r="A12" s="3">
        <v>801</v>
      </c>
      <c r="B12" s="4" t="s">
        <v>90</v>
      </c>
      <c r="C12" s="5">
        <v>530</v>
      </c>
      <c r="D12" s="46" t="s">
        <v>14</v>
      </c>
      <c r="E12" s="5" t="s">
        <v>91</v>
      </c>
      <c r="F12" s="5" t="s">
        <v>15</v>
      </c>
      <c r="G12" s="8">
        <v>292001</v>
      </c>
      <c r="H12" s="45" t="s">
        <v>96</v>
      </c>
      <c r="I12" s="12">
        <v>2500</v>
      </c>
      <c r="J12" s="12">
        <v>2500</v>
      </c>
      <c r="K12" s="12">
        <v>0</v>
      </c>
      <c r="L12" s="12">
        <v>0</v>
      </c>
      <c r="M12" s="11">
        <v>5000</v>
      </c>
      <c r="N12" s="12"/>
      <c r="O12" s="13"/>
      <c r="P12" s="8"/>
    </row>
    <row r="13" spans="1:16" ht="37.5" customHeight="1" x14ac:dyDescent="0.2">
      <c r="A13" s="3">
        <v>801</v>
      </c>
      <c r="B13" s="4" t="s">
        <v>90</v>
      </c>
      <c r="C13" s="5">
        <v>530</v>
      </c>
      <c r="D13" s="46" t="s">
        <v>14</v>
      </c>
      <c r="E13" s="5" t="s">
        <v>91</v>
      </c>
      <c r="F13" s="5" t="s">
        <v>15</v>
      </c>
      <c r="G13" s="8">
        <v>249001</v>
      </c>
      <c r="H13" s="45" t="s">
        <v>97</v>
      </c>
      <c r="I13" s="12">
        <v>10000</v>
      </c>
      <c r="J13" s="12">
        <v>0</v>
      </c>
      <c r="K13" s="12">
        <v>0</v>
      </c>
      <c r="L13" s="12">
        <v>0</v>
      </c>
      <c r="M13" s="11">
        <v>10000</v>
      </c>
      <c r="N13" s="12"/>
      <c r="O13" s="13"/>
      <c r="P13" s="8"/>
    </row>
    <row r="14" spans="1:16" ht="37.5" customHeight="1" x14ac:dyDescent="0.2">
      <c r="A14" s="3">
        <v>801</v>
      </c>
      <c r="B14" s="4" t="s">
        <v>90</v>
      </c>
      <c r="C14" s="5">
        <v>530</v>
      </c>
      <c r="D14" s="46" t="s">
        <v>14</v>
      </c>
      <c r="E14" s="5" t="s">
        <v>91</v>
      </c>
      <c r="F14" s="5" t="s">
        <v>15</v>
      </c>
      <c r="G14" s="8">
        <v>274001</v>
      </c>
      <c r="H14" s="45" t="s">
        <v>98</v>
      </c>
      <c r="I14" s="12">
        <v>5000</v>
      </c>
      <c r="J14" s="12">
        <v>0</v>
      </c>
      <c r="K14" s="12">
        <v>0</v>
      </c>
      <c r="L14" s="12">
        <v>0</v>
      </c>
      <c r="M14" s="11">
        <v>5000</v>
      </c>
      <c r="N14" s="12"/>
      <c r="O14" s="13"/>
      <c r="P14" s="8"/>
    </row>
    <row r="15" spans="1:16" ht="37.5" customHeight="1" x14ac:dyDescent="0.2">
      <c r="A15" s="3">
        <v>801</v>
      </c>
      <c r="B15" s="4" t="s">
        <v>90</v>
      </c>
      <c r="C15" s="5">
        <v>536</v>
      </c>
      <c r="D15" s="46" t="s">
        <v>99</v>
      </c>
      <c r="E15" s="5" t="s">
        <v>100</v>
      </c>
      <c r="F15" s="5" t="s">
        <v>15</v>
      </c>
      <c r="G15" s="8">
        <v>211001</v>
      </c>
      <c r="H15" s="45" t="s">
        <v>16</v>
      </c>
      <c r="I15" s="12">
        <v>20000</v>
      </c>
      <c r="J15" s="12">
        <v>20000</v>
      </c>
      <c r="K15" s="12">
        <v>10000</v>
      </c>
      <c r="L15" s="12">
        <v>0</v>
      </c>
      <c r="M15" s="11">
        <v>50000</v>
      </c>
      <c r="N15" s="12"/>
      <c r="O15" s="13">
        <v>45717</v>
      </c>
      <c r="P15" s="8"/>
    </row>
    <row r="16" spans="1:16" ht="37.5" customHeight="1" x14ac:dyDescent="0.2">
      <c r="A16" s="3">
        <v>801</v>
      </c>
      <c r="B16" s="4" t="s">
        <v>101</v>
      </c>
      <c r="C16" s="5">
        <v>536</v>
      </c>
      <c r="D16" s="46" t="s">
        <v>99</v>
      </c>
      <c r="E16" s="5" t="s">
        <v>100</v>
      </c>
      <c r="F16" s="5" t="s">
        <v>15</v>
      </c>
      <c r="G16" s="8">
        <v>261001</v>
      </c>
      <c r="H16" s="45" t="s">
        <v>46</v>
      </c>
      <c r="I16" s="12">
        <v>17400</v>
      </c>
      <c r="J16" s="12">
        <v>17400</v>
      </c>
      <c r="K16" s="12">
        <v>17400</v>
      </c>
      <c r="L16" s="12">
        <v>17400</v>
      </c>
      <c r="M16" s="11">
        <v>69600</v>
      </c>
      <c r="N16" s="12"/>
      <c r="O16" s="13">
        <v>45689</v>
      </c>
      <c r="P16" s="8"/>
    </row>
    <row r="17" spans="1:16" ht="37.5" customHeight="1" x14ac:dyDescent="0.2">
      <c r="A17" s="3"/>
      <c r="B17" s="4"/>
      <c r="C17" s="5"/>
      <c r="D17" s="46" t="s">
        <v>102</v>
      </c>
      <c r="E17" s="5"/>
      <c r="F17" s="5"/>
      <c r="G17" s="8"/>
      <c r="H17" s="45" t="s">
        <v>102</v>
      </c>
      <c r="I17" s="12">
        <v>0</v>
      </c>
      <c r="J17" s="12">
        <v>0</v>
      </c>
      <c r="K17" s="12">
        <v>0</v>
      </c>
      <c r="L17" s="12">
        <v>0</v>
      </c>
      <c r="M17" s="11">
        <v>0</v>
      </c>
      <c r="N17" s="12"/>
      <c r="O17" s="13"/>
      <c r="P17" s="8"/>
    </row>
    <row r="18" spans="1:16" ht="37.5" customHeight="1" x14ac:dyDescent="0.2">
      <c r="A18" s="3"/>
      <c r="B18" s="4"/>
      <c r="C18" s="5"/>
      <c r="D18" s="46" t="s">
        <v>102</v>
      </c>
      <c r="E18" s="5"/>
      <c r="F18" s="5"/>
      <c r="G18" s="8"/>
      <c r="H18" s="45" t="s">
        <v>102</v>
      </c>
      <c r="I18" s="12">
        <v>0</v>
      </c>
      <c r="J18" s="12">
        <v>0</v>
      </c>
      <c r="K18" s="12">
        <v>0</v>
      </c>
      <c r="L18" s="12">
        <v>0</v>
      </c>
      <c r="M18" s="11">
        <v>0</v>
      </c>
      <c r="N18" s="12"/>
      <c r="O18" s="13"/>
      <c r="P18" s="8"/>
    </row>
    <row r="19" spans="1:16" s="108" customFormat="1" ht="37.5" customHeight="1" thickBot="1" x14ac:dyDescent="0.25">
      <c r="A19" s="97"/>
      <c r="B19" s="98"/>
      <c r="C19" s="99"/>
      <c r="D19" s="100"/>
      <c r="E19" s="99"/>
      <c r="F19" s="99"/>
      <c r="G19" s="101"/>
      <c r="H19" s="102"/>
      <c r="I19" s="103" t="s">
        <v>103</v>
      </c>
      <c r="J19" s="103" t="s">
        <v>103</v>
      </c>
      <c r="K19" s="104" t="s">
        <v>103</v>
      </c>
      <c r="L19" s="103" t="s">
        <v>103</v>
      </c>
      <c r="M19" s="105" t="s">
        <v>103</v>
      </c>
      <c r="N19" s="103"/>
      <c r="O19" s="103"/>
      <c r="P19" s="101"/>
    </row>
    <row r="20" spans="1:16" ht="37.5" customHeight="1" thickTop="1" x14ac:dyDescent="0.2"/>
    <row r="22" spans="1:16" ht="37.5" customHeight="1" x14ac:dyDescent="0.2">
      <c r="M22" s="29"/>
    </row>
  </sheetData>
  <protectedRanges>
    <protectedRange algorithmName="SHA-512" hashValue="CVDb5J/0TlFD03lqit9XaA7LbCMGvWLCsduA3v8dImZEGhWfzgZ6Dg6bkjbAbJm1bYAcMLcpovU/dJmuMze5jw==" saltValue="QZ4X9aU2cO4/tAPW6011Dw==" spinCount="100000" sqref="N5:P19" name="EDITABLE 4"/>
    <protectedRange algorithmName="SHA-512" hashValue="ytsoXFfC1+WmXVaa1/e6XfcZ7vPjNmSnuZe33NqN4NcqbRxNJdzSGuklMRpskJNPYNNz1yZQe585JE4aSLisOg==" saltValue="/jSLFmNX0mB2vn2qhSJbtw==" spinCount="100000" sqref="I5:L19" name="EDITABLE 3"/>
    <protectedRange algorithmName="SHA-512" hashValue="pJNw8ysPJcfMEDlzTgza0siiHuU4FkUpIzbuTX325DFaYD5nL5ng0z0JoIGpE+CYch2hq/LccMqSM51MpHojPQ==" saltValue="xv9nj4u85CXs/Kmy5tmlKw==" spinCount="100000" sqref="E19:G19 F5:G18" name="EDITABLE 2"/>
    <protectedRange algorithmName="SHA-512" hashValue="Lst7hsT/mUUQvFsOUalIdMZhSjExDj/C7u4r1gIjHREwBj16N7lqODQ0CY6n+RXalo774Zm4aYZKVBS0n4XIeg==" saltValue="KfnRR/cqfK967zBK52Zr6A==" spinCount="100000" sqref="A5:C19" name="EDITABLE 1"/>
    <protectedRange algorithmName="SHA-512" hashValue="pJNw8ysPJcfMEDlzTgza0siiHuU4FkUpIzbuTX325DFaYD5nL5ng0z0JoIGpE+CYch2hq/LccMqSM51MpHojPQ==" saltValue="xv9nj4u85CXs/Kmy5tmlKw==" spinCount="100000" sqref="E5:E18" name="EDITABLE 2_1"/>
  </protectedRanges>
  <mergeCells count="3">
    <mergeCell ref="A1:P1"/>
    <mergeCell ref="A2:P2"/>
    <mergeCell ref="A3:P3"/>
  </mergeCells>
  <dataValidations count="2">
    <dataValidation type="list" allowBlank="1" showInputMessage="1" showErrorMessage="1" sqref="G5:G18" xr:uid="{69EBF1FA-478E-42BA-ACA9-BA7AB8B3D39E}">
      <formula1>INDIRECT(F5)</formula1>
    </dataValidation>
    <dataValidation type="list" allowBlank="1" showInputMessage="1" showErrorMessage="1" sqref="F5:F18" xr:uid="{958C9E4E-B4C6-4E5B-A286-5E10F9E22DF8}">
      <formula1>CAPITULOS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5" scale="62" orientation="landscape" r:id="rId1"/>
  <drawing r:id="rId2"/>
  <tableParts count="1">
    <tablePart r:id="rId3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5D4458-994D-45CA-9723-33A854F4F16E}">
  <sheetPr>
    <tabColor rgb="FF00B050"/>
  </sheetPr>
  <dimension ref="A1:P122"/>
  <sheetViews>
    <sheetView zoomScaleNormal="100" workbookViewId="0">
      <pane ySplit="4" topLeftCell="A116" activePane="bottomLeft" state="frozen"/>
      <selection activeCell="L24" sqref="L24"/>
      <selection pane="bottomLeft" activeCell="L24" sqref="L24"/>
    </sheetView>
  </sheetViews>
  <sheetFormatPr baseColWidth="10" defaultColWidth="11.42578125" defaultRowHeight="37.5" customHeight="1" x14ac:dyDescent="0.2"/>
  <cols>
    <col min="1" max="1" width="10.28515625" style="49" customWidth="1"/>
    <col min="2" max="2" width="17.5703125" style="49" customWidth="1"/>
    <col min="3" max="3" width="18.140625" style="49" customWidth="1"/>
    <col min="4" max="4" width="17.42578125" style="1" customWidth="1"/>
    <col min="5" max="5" width="14.7109375" style="1" customWidth="1"/>
    <col min="6" max="6" width="11.140625" style="1" customWidth="1"/>
    <col min="7" max="7" width="13" style="49" customWidth="1"/>
    <col min="8" max="8" width="24" style="49" customWidth="1"/>
    <col min="9" max="12" width="14.85546875" style="1" bestFit="1" customWidth="1"/>
    <col min="13" max="13" width="19" style="1" customWidth="1"/>
    <col min="14" max="14" width="21.7109375" style="1" customWidth="1"/>
    <col min="15" max="15" width="23.85546875" style="1" customWidth="1"/>
    <col min="16" max="16" width="15.5703125" style="1" customWidth="1"/>
    <col min="17" max="16384" width="11.42578125" style="1"/>
  </cols>
  <sheetData>
    <row r="1" spans="1:16" ht="22.5" customHeight="1" x14ac:dyDescent="0.2">
      <c r="A1" s="115" t="s">
        <v>24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</row>
    <row r="2" spans="1:16" ht="18.75" customHeight="1" x14ac:dyDescent="0.2">
      <c r="A2" s="116" t="s">
        <v>89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</row>
    <row r="3" spans="1:16" ht="32.25" customHeight="1" x14ac:dyDescent="0.2">
      <c r="A3" s="117" t="s">
        <v>25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</row>
    <row r="4" spans="1:16" s="2" customFormat="1" ht="48" customHeight="1" x14ac:dyDescent="0.2">
      <c r="A4" s="72" t="s">
        <v>0</v>
      </c>
      <c r="B4" s="72" t="s">
        <v>1</v>
      </c>
      <c r="C4" s="72" t="s">
        <v>2</v>
      </c>
      <c r="D4" s="72" t="s">
        <v>3</v>
      </c>
      <c r="E4" s="72" t="s">
        <v>4</v>
      </c>
      <c r="F4" s="72" t="s">
        <v>5</v>
      </c>
      <c r="G4" s="72" t="s">
        <v>6</v>
      </c>
      <c r="H4" s="72" t="s">
        <v>7</v>
      </c>
      <c r="I4" s="72" t="s">
        <v>26</v>
      </c>
      <c r="J4" s="72" t="s">
        <v>8</v>
      </c>
      <c r="K4" s="72" t="s">
        <v>9</v>
      </c>
      <c r="L4" s="72" t="s">
        <v>10</v>
      </c>
      <c r="M4" s="72" t="s">
        <v>27</v>
      </c>
      <c r="N4" s="72" t="s">
        <v>11</v>
      </c>
      <c r="O4" s="72" t="s">
        <v>12</v>
      </c>
      <c r="P4" s="72" t="s">
        <v>13</v>
      </c>
    </row>
    <row r="5" spans="1:16" ht="37.5" customHeight="1" x14ac:dyDescent="0.2">
      <c r="A5" s="3">
        <v>81</v>
      </c>
      <c r="B5" s="4" t="s">
        <v>90</v>
      </c>
      <c r="C5" s="5">
        <v>536</v>
      </c>
      <c r="D5" s="46" t="s">
        <v>140</v>
      </c>
      <c r="E5" s="5" t="s">
        <v>107</v>
      </c>
      <c r="F5" s="47" t="s">
        <v>22</v>
      </c>
      <c r="G5" s="8">
        <v>371001</v>
      </c>
      <c r="H5" s="45" t="s">
        <v>31</v>
      </c>
      <c r="I5" s="12">
        <v>40000</v>
      </c>
      <c r="J5" s="12">
        <v>0</v>
      </c>
      <c r="K5" s="12">
        <v>0</v>
      </c>
      <c r="L5" s="12">
        <v>0</v>
      </c>
      <c r="M5" s="11">
        <f>Tabla1312[[#This Row],[TRIMESTRE  I]]+Tabla1312[[#This Row],[TRIMESTRE II]]+Tabla1312[[#This Row],[TRIMESTRE III]]+Tabla1312[[#This Row],[TRIMESTRE IV]]</f>
        <v>40000</v>
      </c>
      <c r="N5" s="12"/>
      <c r="O5" s="13"/>
      <c r="P5" s="8"/>
    </row>
    <row r="6" spans="1:16" ht="37.5" customHeight="1" x14ac:dyDescent="0.2">
      <c r="A6" s="3">
        <v>81</v>
      </c>
      <c r="B6" s="4" t="s">
        <v>90</v>
      </c>
      <c r="C6" s="5">
        <v>536</v>
      </c>
      <c r="D6" s="46" t="s">
        <v>140</v>
      </c>
      <c r="E6" s="5" t="s">
        <v>107</v>
      </c>
      <c r="F6" s="47" t="s">
        <v>22</v>
      </c>
      <c r="G6" s="8">
        <v>383001</v>
      </c>
      <c r="H6" s="45" t="s">
        <v>106</v>
      </c>
      <c r="I6" s="12">
        <v>50000</v>
      </c>
      <c r="J6" s="12">
        <v>0</v>
      </c>
      <c r="K6" s="12">
        <v>0</v>
      </c>
      <c r="L6" s="12">
        <v>0</v>
      </c>
      <c r="M6" s="11">
        <f>Tabla1312[[#This Row],[TRIMESTRE  I]]+Tabla1312[[#This Row],[TRIMESTRE II]]+Tabla1312[[#This Row],[TRIMESTRE III]]+Tabla1312[[#This Row],[TRIMESTRE IV]]</f>
        <v>50000</v>
      </c>
      <c r="N6" s="12"/>
      <c r="O6" s="13"/>
      <c r="P6" s="8"/>
    </row>
    <row r="7" spans="1:16" ht="37.5" customHeight="1" x14ac:dyDescent="0.2">
      <c r="A7" s="3">
        <v>81</v>
      </c>
      <c r="B7" s="4" t="s">
        <v>90</v>
      </c>
      <c r="C7" s="5">
        <v>536</v>
      </c>
      <c r="D7" s="46" t="s">
        <v>140</v>
      </c>
      <c r="E7" s="5" t="s">
        <v>141</v>
      </c>
      <c r="F7" s="47" t="s">
        <v>22</v>
      </c>
      <c r="G7" s="8">
        <v>351002</v>
      </c>
      <c r="H7" s="45" t="s">
        <v>154</v>
      </c>
      <c r="I7" s="12">
        <v>50000</v>
      </c>
      <c r="J7" s="12">
        <v>50000</v>
      </c>
      <c r="K7" s="12">
        <v>0</v>
      </c>
      <c r="L7" s="12">
        <v>0</v>
      </c>
      <c r="M7" s="11">
        <f>Tabla1312[[#This Row],[TRIMESTRE  I]]+Tabla1312[[#This Row],[TRIMESTRE II]]+Tabla1312[[#This Row],[TRIMESTRE III]]+Tabla1312[[#This Row],[TRIMESTRE IV]]</f>
        <v>100000</v>
      </c>
      <c r="N7" s="12"/>
      <c r="O7" s="13"/>
      <c r="P7" s="8"/>
    </row>
    <row r="8" spans="1:16" ht="37.5" customHeight="1" x14ac:dyDescent="0.2">
      <c r="A8" s="3">
        <v>81</v>
      </c>
      <c r="B8" s="4" t="s">
        <v>90</v>
      </c>
      <c r="C8" s="5">
        <v>536</v>
      </c>
      <c r="D8" s="46" t="s">
        <v>140</v>
      </c>
      <c r="E8" s="5" t="s">
        <v>141</v>
      </c>
      <c r="F8" s="47" t="s">
        <v>22</v>
      </c>
      <c r="G8" s="8">
        <v>371001</v>
      </c>
      <c r="H8" s="45" t="s">
        <v>31</v>
      </c>
      <c r="I8" s="12">
        <v>48000</v>
      </c>
      <c r="J8" s="12">
        <v>0</v>
      </c>
      <c r="K8" s="12">
        <v>0</v>
      </c>
      <c r="L8" s="12">
        <v>0</v>
      </c>
      <c r="M8" s="11">
        <f>Tabla1312[[#This Row],[TRIMESTRE  I]]+Tabla1312[[#This Row],[TRIMESTRE II]]+Tabla1312[[#This Row],[TRIMESTRE III]]+Tabla1312[[#This Row],[TRIMESTRE IV]]</f>
        <v>48000</v>
      </c>
      <c r="N8" s="12"/>
      <c r="O8" s="13"/>
      <c r="P8" s="8"/>
    </row>
    <row r="9" spans="1:16" ht="37.5" customHeight="1" x14ac:dyDescent="0.2">
      <c r="A9" s="3">
        <v>801</v>
      </c>
      <c r="B9" s="4" t="s">
        <v>90</v>
      </c>
      <c r="C9" s="5">
        <v>536</v>
      </c>
      <c r="D9" s="46" t="s">
        <v>140</v>
      </c>
      <c r="E9" s="5" t="s">
        <v>142</v>
      </c>
      <c r="F9" s="47" t="s">
        <v>22</v>
      </c>
      <c r="G9" s="8">
        <v>371001</v>
      </c>
      <c r="H9" s="45" t="s">
        <v>31</v>
      </c>
      <c r="I9" s="12">
        <v>41250</v>
      </c>
      <c r="J9" s="12">
        <v>0</v>
      </c>
      <c r="K9" s="12">
        <v>0</v>
      </c>
      <c r="L9" s="12">
        <v>0</v>
      </c>
      <c r="M9" s="11">
        <f>Tabla1312[[#This Row],[TRIMESTRE  I]]+Tabla1312[[#This Row],[TRIMESTRE II]]+Tabla1312[[#This Row],[TRIMESTRE III]]+Tabla1312[[#This Row],[TRIMESTRE IV]]</f>
        <v>41250</v>
      </c>
      <c r="N9" s="12"/>
      <c r="O9" s="13"/>
      <c r="P9" s="8"/>
    </row>
    <row r="10" spans="1:16" ht="37.5" customHeight="1" x14ac:dyDescent="0.2">
      <c r="A10" s="3">
        <v>81</v>
      </c>
      <c r="B10" s="4" t="s">
        <v>90</v>
      </c>
      <c r="C10" s="5">
        <v>536</v>
      </c>
      <c r="D10" s="46" t="s">
        <v>140</v>
      </c>
      <c r="E10" s="5" t="s">
        <v>143</v>
      </c>
      <c r="F10" s="47" t="s">
        <v>22</v>
      </c>
      <c r="G10" s="8">
        <v>371001</v>
      </c>
      <c r="H10" s="45" t="s">
        <v>31</v>
      </c>
      <c r="I10" s="12">
        <v>35000</v>
      </c>
      <c r="J10" s="12">
        <v>5000</v>
      </c>
      <c r="K10" s="12">
        <v>0</v>
      </c>
      <c r="L10" s="12">
        <v>0</v>
      </c>
      <c r="M10" s="11">
        <f>Tabla1312[[#This Row],[TRIMESTRE  I]]+Tabla1312[[#This Row],[TRIMESTRE II]]+Tabla1312[[#This Row],[TRIMESTRE III]]+Tabla1312[[#This Row],[TRIMESTRE IV]]</f>
        <v>40000</v>
      </c>
      <c r="N10" s="12"/>
      <c r="O10" s="13"/>
      <c r="P10" s="8"/>
    </row>
    <row r="11" spans="1:16" ht="37.5" customHeight="1" x14ac:dyDescent="0.2">
      <c r="A11" s="3">
        <v>81</v>
      </c>
      <c r="B11" s="4" t="s">
        <v>90</v>
      </c>
      <c r="C11" s="5">
        <v>536</v>
      </c>
      <c r="D11" s="46" t="s">
        <v>140</v>
      </c>
      <c r="E11" s="5" t="s">
        <v>143</v>
      </c>
      <c r="F11" s="47" t="s">
        <v>22</v>
      </c>
      <c r="G11" s="8">
        <v>383001</v>
      </c>
      <c r="H11" s="45" t="s">
        <v>106</v>
      </c>
      <c r="I11" s="12">
        <v>0</v>
      </c>
      <c r="J11" s="12">
        <v>50000</v>
      </c>
      <c r="K11" s="12">
        <v>0</v>
      </c>
      <c r="L11" s="12">
        <v>0</v>
      </c>
      <c r="M11" s="11">
        <f>Tabla1312[[#This Row],[TRIMESTRE  I]]+Tabla1312[[#This Row],[TRIMESTRE II]]+Tabla1312[[#This Row],[TRIMESTRE III]]+Tabla1312[[#This Row],[TRIMESTRE IV]]</f>
        <v>50000</v>
      </c>
      <c r="N11" s="12"/>
      <c r="O11" s="13"/>
      <c r="P11" s="8"/>
    </row>
    <row r="12" spans="1:16" ht="37.5" customHeight="1" x14ac:dyDescent="0.2">
      <c r="A12" s="3">
        <v>801</v>
      </c>
      <c r="B12" s="4" t="s">
        <v>90</v>
      </c>
      <c r="C12" s="5">
        <v>536</v>
      </c>
      <c r="D12" s="46" t="s">
        <v>140</v>
      </c>
      <c r="E12" s="5" t="s">
        <v>144</v>
      </c>
      <c r="F12" s="47" t="s">
        <v>22</v>
      </c>
      <c r="G12" s="8">
        <v>371001</v>
      </c>
      <c r="H12" s="45" t="s">
        <v>31</v>
      </c>
      <c r="I12" s="12">
        <v>40000</v>
      </c>
      <c r="J12" s="12">
        <v>0</v>
      </c>
      <c r="K12" s="12">
        <v>0</v>
      </c>
      <c r="L12" s="12">
        <v>0</v>
      </c>
      <c r="M12" s="11">
        <f>Tabla1312[[#This Row],[TRIMESTRE  I]]+Tabla1312[[#This Row],[TRIMESTRE II]]+Tabla1312[[#This Row],[TRIMESTRE III]]+Tabla1312[[#This Row],[TRIMESTRE IV]]</f>
        <v>40000</v>
      </c>
      <c r="N12" s="12"/>
      <c r="O12" s="13"/>
      <c r="P12" s="8"/>
    </row>
    <row r="13" spans="1:16" ht="37.5" customHeight="1" x14ac:dyDescent="0.2">
      <c r="A13" s="3">
        <v>81</v>
      </c>
      <c r="B13" s="4" t="s">
        <v>90</v>
      </c>
      <c r="C13" s="5">
        <v>536</v>
      </c>
      <c r="D13" s="46" t="s">
        <v>140</v>
      </c>
      <c r="E13" s="5" t="s">
        <v>144</v>
      </c>
      <c r="F13" s="47" t="s">
        <v>22</v>
      </c>
      <c r="G13" s="8">
        <v>383001</v>
      </c>
      <c r="H13" s="45" t="s">
        <v>106</v>
      </c>
      <c r="I13" s="12">
        <v>50000</v>
      </c>
      <c r="J13" s="12">
        <v>0</v>
      </c>
      <c r="K13" s="12">
        <v>0</v>
      </c>
      <c r="L13" s="12">
        <v>0</v>
      </c>
      <c r="M13" s="11">
        <f>Tabla1312[[#This Row],[TRIMESTRE  I]]+Tabla1312[[#This Row],[TRIMESTRE II]]+Tabla1312[[#This Row],[TRIMESTRE III]]+Tabla1312[[#This Row],[TRIMESTRE IV]]</f>
        <v>50000</v>
      </c>
      <c r="N13" s="12"/>
      <c r="O13" s="13"/>
      <c r="P13" s="8"/>
    </row>
    <row r="14" spans="1:16" ht="37.5" customHeight="1" x14ac:dyDescent="0.2">
      <c r="A14" s="3">
        <v>801</v>
      </c>
      <c r="B14" s="4" t="s">
        <v>104</v>
      </c>
      <c r="C14" s="5">
        <v>536</v>
      </c>
      <c r="D14" s="46" t="s">
        <v>99</v>
      </c>
      <c r="E14" s="5" t="s">
        <v>105</v>
      </c>
      <c r="F14" s="47" t="s">
        <v>22</v>
      </c>
      <c r="G14" s="8">
        <v>334002</v>
      </c>
      <c r="H14" s="45" t="s">
        <v>159</v>
      </c>
      <c r="I14" s="12">
        <v>0</v>
      </c>
      <c r="J14" s="12">
        <v>30000</v>
      </c>
      <c r="K14" s="12">
        <v>60000</v>
      </c>
      <c r="L14" s="12">
        <v>0</v>
      </c>
      <c r="M14" s="11">
        <f>Tabla1312[[#This Row],[TRIMESTRE  I]]+Tabla1312[[#This Row],[TRIMESTRE II]]+Tabla1312[[#This Row],[TRIMESTRE III]]+Tabla1312[[#This Row],[TRIMESTRE IV]]</f>
        <v>90000</v>
      </c>
      <c r="N14" s="12"/>
      <c r="O14" s="13"/>
      <c r="P14" s="8"/>
    </row>
    <row r="15" spans="1:16" ht="37.5" customHeight="1" x14ac:dyDescent="0.2">
      <c r="A15" s="3">
        <v>801</v>
      </c>
      <c r="B15" s="4" t="s">
        <v>104</v>
      </c>
      <c r="C15" s="5">
        <v>536</v>
      </c>
      <c r="D15" s="46" t="s">
        <v>99</v>
      </c>
      <c r="E15" s="5" t="s">
        <v>105</v>
      </c>
      <c r="F15" s="47" t="s">
        <v>22</v>
      </c>
      <c r="G15" s="8">
        <v>371001</v>
      </c>
      <c r="H15" s="45" t="s">
        <v>31</v>
      </c>
      <c r="I15" s="12">
        <v>12000</v>
      </c>
      <c r="J15" s="12">
        <v>15000</v>
      </c>
      <c r="K15" s="12">
        <v>13000</v>
      </c>
      <c r="L15" s="12">
        <v>0</v>
      </c>
      <c r="M15" s="11">
        <f>Tabla1312[[#This Row],[TRIMESTRE  I]]+Tabla1312[[#This Row],[TRIMESTRE II]]+Tabla1312[[#This Row],[TRIMESTRE III]]+Tabla1312[[#This Row],[TRIMESTRE IV]]</f>
        <v>40000</v>
      </c>
      <c r="N15" s="12"/>
      <c r="O15" s="13"/>
      <c r="P15" s="8"/>
    </row>
    <row r="16" spans="1:16" ht="37.5" customHeight="1" x14ac:dyDescent="0.2">
      <c r="A16" s="3">
        <v>801</v>
      </c>
      <c r="B16" s="4" t="s">
        <v>104</v>
      </c>
      <c r="C16" s="5">
        <v>536</v>
      </c>
      <c r="D16" s="46" t="s">
        <v>99</v>
      </c>
      <c r="E16" s="5" t="s">
        <v>105</v>
      </c>
      <c r="F16" s="47" t="s">
        <v>22</v>
      </c>
      <c r="G16" s="8">
        <v>383001</v>
      </c>
      <c r="H16" s="45" t="s">
        <v>106</v>
      </c>
      <c r="I16" s="12">
        <v>0</v>
      </c>
      <c r="J16" s="12">
        <v>20000</v>
      </c>
      <c r="K16" s="12">
        <v>20000</v>
      </c>
      <c r="L16" s="12">
        <v>0</v>
      </c>
      <c r="M16" s="11">
        <f>Tabla1312[[#This Row],[TRIMESTRE  I]]+Tabla1312[[#This Row],[TRIMESTRE II]]+Tabla1312[[#This Row],[TRIMESTRE III]]+Tabla1312[[#This Row],[TRIMESTRE IV]]</f>
        <v>40000</v>
      </c>
      <c r="N16" s="12"/>
      <c r="O16" s="13"/>
      <c r="P16" s="8"/>
    </row>
    <row r="17" spans="1:16" ht="37.5" customHeight="1" x14ac:dyDescent="0.2">
      <c r="A17" s="3">
        <v>801</v>
      </c>
      <c r="B17" s="4" t="s">
        <v>90</v>
      </c>
      <c r="C17" s="5">
        <v>536</v>
      </c>
      <c r="D17" s="46" t="s">
        <v>99</v>
      </c>
      <c r="E17" s="5" t="s">
        <v>108</v>
      </c>
      <c r="F17" s="5" t="s">
        <v>22</v>
      </c>
      <c r="G17" s="8">
        <v>51221001</v>
      </c>
      <c r="H17" s="45" t="s">
        <v>145</v>
      </c>
      <c r="I17" s="12">
        <v>250</v>
      </c>
      <c r="J17" s="12">
        <v>250</v>
      </c>
      <c r="K17" s="12">
        <v>250</v>
      </c>
      <c r="L17" s="12">
        <v>250</v>
      </c>
      <c r="M17" s="11">
        <f>Tabla1312[[#This Row],[TRIMESTRE  I]]+Tabla1312[[#This Row],[TRIMESTRE II]]+Tabla1312[[#This Row],[TRIMESTRE III]]+Tabla1312[[#This Row],[TRIMESTRE IV]]</f>
        <v>1000</v>
      </c>
      <c r="N17" s="12"/>
      <c r="O17" s="13"/>
      <c r="P17" s="8"/>
    </row>
    <row r="18" spans="1:16" ht="37.5" customHeight="1" x14ac:dyDescent="0.2">
      <c r="A18" s="3">
        <v>801</v>
      </c>
      <c r="B18" s="4" t="s">
        <v>90</v>
      </c>
      <c r="C18" s="5">
        <v>536</v>
      </c>
      <c r="D18" s="46" t="s">
        <v>99</v>
      </c>
      <c r="E18" s="5" t="s">
        <v>108</v>
      </c>
      <c r="F18" s="5" t="s">
        <v>22</v>
      </c>
      <c r="G18" s="8">
        <v>51355001</v>
      </c>
      <c r="H18" s="45" t="s">
        <v>146</v>
      </c>
      <c r="I18" s="12">
        <v>125</v>
      </c>
      <c r="J18" s="12">
        <v>125</v>
      </c>
      <c r="K18" s="12">
        <v>125</v>
      </c>
      <c r="L18" s="12">
        <v>125</v>
      </c>
      <c r="M18" s="11">
        <f>Tabla1312[[#This Row],[TRIMESTRE  I]]+Tabla1312[[#This Row],[TRIMESTRE II]]+Tabla1312[[#This Row],[TRIMESTRE III]]+Tabla1312[[#This Row],[TRIMESTRE IV]]</f>
        <v>500</v>
      </c>
      <c r="N18" s="12"/>
      <c r="O18" s="13"/>
      <c r="P18" s="8"/>
    </row>
    <row r="19" spans="1:16" ht="37.5" customHeight="1" x14ac:dyDescent="0.2">
      <c r="A19" s="3">
        <v>801</v>
      </c>
      <c r="B19" s="4" t="s">
        <v>90</v>
      </c>
      <c r="C19" s="5">
        <v>536</v>
      </c>
      <c r="D19" s="46" t="s">
        <v>99</v>
      </c>
      <c r="E19" s="5" t="s">
        <v>108</v>
      </c>
      <c r="F19" s="5" t="s">
        <v>22</v>
      </c>
      <c r="G19" s="8">
        <v>51382002</v>
      </c>
      <c r="H19" s="45" t="s">
        <v>147</v>
      </c>
      <c r="I19" s="12">
        <v>375</v>
      </c>
      <c r="J19" s="12">
        <v>375</v>
      </c>
      <c r="K19" s="12">
        <v>375</v>
      </c>
      <c r="L19" s="12">
        <v>375</v>
      </c>
      <c r="M19" s="11">
        <f>Tabla1312[[#This Row],[TRIMESTRE  I]]+Tabla1312[[#This Row],[TRIMESTRE II]]+Tabla1312[[#This Row],[TRIMESTRE III]]+Tabla1312[[#This Row],[TRIMESTRE IV]]</f>
        <v>1500</v>
      </c>
      <c r="N19" s="12"/>
      <c r="O19" s="12"/>
      <c r="P19" s="8"/>
    </row>
    <row r="20" spans="1:16" ht="37.5" customHeight="1" x14ac:dyDescent="0.2">
      <c r="A20" s="3">
        <v>801</v>
      </c>
      <c r="B20" s="4" t="s">
        <v>90</v>
      </c>
      <c r="C20" s="5">
        <v>536</v>
      </c>
      <c r="D20" s="46" t="s">
        <v>99</v>
      </c>
      <c r="E20" s="5" t="s">
        <v>108</v>
      </c>
      <c r="F20" s="5" t="s">
        <v>22</v>
      </c>
      <c r="G20" s="8">
        <v>51382003</v>
      </c>
      <c r="H20" s="45" t="s">
        <v>148</v>
      </c>
      <c r="I20" s="12">
        <v>500</v>
      </c>
      <c r="J20" s="12">
        <v>500</v>
      </c>
      <c r="K20" s="12">
        <v>500</v>
      </c>
      <c r="L20" s="12">
        <v>500</v>
      </c>
      <c r="M20" s="11">
        <f>Tabla1312[[#This Row],[TRIMESTRE  I]]+Tabla1312[[#This Row],[TRIMESTRE II]]+Tabla1312[[#This Row],[TRIMESTRE III]]+Tabla1312[[#This Row],[TRIMESTRE IV]]</f>
        <v>2000</v>
      </c>
      <c r="N20" s="12"/>
      <c r="O20" s="12"/>
      <c r="P20" s="8"/>
    </row>
    <row r="21" spans="1:16" ht="37.5" customHeight="1" x14ac:dyDescent="0.2">
      <c r="A21" s="3">
        <v>801</v>
      </c>
      <c r="B21" s="4" t="s">
        <v>90</v>
      </c>
      <c r="C21" s="5">
        <v>536</v>
      </c>
      <c r="D21" s="46" t="s">
        <v>99</v>
      </c>
      <c r="E21" s="5" t="s">
        <v>108</v>
      </c>
      <c r="F21" s="5" t="s">
        <v>22</v>
      </c>
      <c r="G21" s="8">
        <v>51399001</v>
      </c>
      <c r="H21" s="45" t="s">
        <v>149</v>
      </c>
      <c r="I21" s="12">
        <v>1250</v>
      </c>
      <c r="J21" s="12">
        <v>1250</v>
      </c>
      <c r="K21" s="12">
        <v>1250</v>
      </c>
      <c r="L21" s="12">
        <v>1250</v>
      </c>
      <c r="M21" s="11">
        <f>Tabla1312[[#This Row],[TRIMESTRE  I]]+Tabla1312[[#This Row],[TRIMESTRE II]]+Tabla1312[[#This Row],[TRIMESTRE III]]+Tabla1312[[#This Row],[TRIMESTRE IV]]</f>
        <v>5000</v>
      </c>
      <c r="N21" s="12"/>
      <c r="O21" s="12"/>
      <c r="P21" s="8"/>
    </row>
    <row r="22" spans="1:16" ht="37.5" customHeight="1" x14ac:dyDescent="0.2">
      <c r="A22" s="3">
        <v>801</v>
      </c>
      <c r="B22" s="4" t="s">
        <v>104</v>
      </c>
      <c r="C22" s="5">
        <v>536</v>
      </c>
      <c r="D22" s="46" t="s">
        <v>99</v>
      </c>
      <c r="E22" s="5" t="s">
        <v>105</v>
      </c>
      <c r="F22" s="47" t="s">
        <v>22</v>
      </c>
      <c r="G22" s="8">
        <v>371001</v>
      </c>
      <c r="H22" s="45" t="s">
        <v>31</v>
      </c>
      <c r="I22" s="12">
        <v>0</v>
      </c>
      <c r="J22" s="12">
        <v>60000</v>
      </c>
      <c r="K22" s="12">
        <v>0</v>
      </c>
      <c r="L22" s="12">
        <v>0</v>
      </c>
      <c r="M22" s="11">
        <f>Tabla1312[[#This Row],[TRIMESTRE  I]]+Tabla1312[[#This Row],[TRIMESTRE II]]+Tabla1312[[#This Row],[TRIMESTRE III]]+Tabla1312[[#This Row],[TRIMESTRE IV]]</f>
        <v>60000</v>
      </c>
      <c r="N22" s="12"/>
      <c r="O22" s="12"/>
      <c r="P22" s="8"/>
    </row>
    <row r="23" spans="1:16" ht="37.5" customHeight="1" x14ac:dyDescent="0.2">
      <c r="A23" s="3">
        <v>801</v>
      </c>
      <c r="B23" s="4" t="s">
        <v>104</v>
      </c>
      <c r="C23" s="5">
        <v>536</v>
      </c>
      <c r="D23" s="46" t="s">
        <v>99</v>
      </c>
      <c r="E23" s="5" t="s">
        <v>105</v>
      </c>
      <c r="F23" s="47" t="s">
        <v>22</v>
      </c>
      <c r="G23" s="8">
        <v>382002</v>
      </c>
      <c r="H23" s="45" t="s">
        <v>57</v>
      </c>
      <c r="I23" s="12">
        <v>150000</v>
      </c>
      <c r="J23" s="12">
        <v>0</v>
      </c>
      <c r="K23" s="12">
        <v>0</v>
      </c>
      <c r="L23" s="12">
        <v>0</v>
      </c>
      <c r="M23" s="11">
        <f>Tabla1312[[#This Row],[TRIMESTRE  I]]+Tabla1312[[#This Row],[TRIMESTRE II]]+Tabla1312[[#This Row],[TRIMESTRE III]]+Tabla1312[[#This Row],[TRIMESTRE IV]]</f>
        <v>150000</v>
      </c>
      <c r="N23" s="12"/>
      <c r="O23" s="12"/>
      <c r="P23" s="8"/>
    </row>
    <row r="24" spans="1:16" ht="37.5" customHeight="1" x14ac:dyDescent="0.2">
      <c r="A24" s="3">
        <v>801</v>
      </c>
      <c r="B24" s="4" t="s">
        <v>104</v>
      </c>
      <c r="C24" s="5">
        <v>536</v>
      </c>
      <c r="D24" s="46" t="s">
        <v>99</v>
      </c>
      <c r="E24" s="5" t="s">
        <v>105</v>
      </c>
      <c r="F24" s="47" t="s">
        <v>22</v>
      </c>
      <c r="G24" s="8">
        <v>383001</v>
      </c>
      <c r="H24" s="45" t="s">
        <v>106</v>
      </c>
      <c r="I24" s="12">
        <v>120000</v>
      </c>
      <c r="J24" s="12">
        <v>0</v>
      </c>
      <c r="K24" s="12">
        <v>0</v>
      </c>
      <c r="L24" s="12">
        <v>0</v>
      </c>
      <c r="M24" s="11">
        <f>Tabla1312[[#This Row],[TRIMESTRE  I]]+Tabla1312[[#This Row],[TRIMESTRE II]]+Tabla1312[[#This Row],[TRIMESTRE III]]+Tabla1312[[#This Row],[TRIMESTRE IV]]</f>
        <v>120000</v>
      </c>
      <c r="N24" s="12"/>
      <c r="O24" s="12"/>
      <c r="P24" s="8"/>
    </row>
    <row r="25" spans="1:16" ht="37.5" customHeight="1" x14ac:dyDescent="0.2">
      <c r="A25" s="3">
        <v>801</v>
      </c>
      <c r="B25" s="4" t="s">
        <v>104</v>
      </c>
      <c r="C25" s="5">
        <v>536</v>
      </c>
      <c r="D25" s="46" t="s">
        <v>99</v>
      </c>
      <c r="E25" s="5" t="s">
        <v>105</v>
      </c>
      <c r="F25" s="47" t="s">
        <v>22</v>
      </c>
      <c r="G25" s="8">
        <v>383001</v>
      </c>
      <c r="H25" s="45" t="s">
        <v>106</v>
      </c>
      <c r="I25" s="12">
        <v>28500</v>
      </c>
      <c r="J25" s="12">
        <v>20000</v>
      </c>
      <c r="K25" s="12">
        <v>20000</v>
      </c>
      <c r="L25" s="12">
        <v>0</v>
      </c>
      <c r="M25" s="11">
        <f>Tabla1312[[#This Row],[TRIMESTRE  I]]+Tabla1312[[#This Row],[TRIMESTRE II]]+Tabla1312[[#This Row],[TRIMESTRE III]]+Tabla1312[[#This Row],[TRIMESTRE IV]]</f>
        <v>68500</v>
      </c>
      <c r="N25" s="12"/>
      <c r="O25" s="12"/>
      <c r="P25" s="8"/>
    </row>
    <row r="26" spans="1:16" ht="37.5" customHeight="1" x14ac:dyDescent="0.2">
      <c r="A26" s="3">
        <v>33</v>
      </c>
      <c r="B26" s="4" t="s">
        <v>90</v>
      </c>
      <c r="C26" s="5">
        <v>536</v>
      </c>
      <c r="D26" s="46" t="s">
        <v>99</v>
      </c>
      <c r="E26" s="5" t="s">
        <v>110</v>
      </c>
      <c r="F26" s="47" t="s">
        <v>22</v>
      </c>
      <c r="G26" s="8">
        <v>371001</v>
      </c>
      <c r="H26" s="45" t="s">
        <v>31</v>
      </c>
      <c r="I26" s="12">
        <v>50000</v>
      </c>
      <c r="J26" s="12">
        <v>50000</v>
      </c>
      <c r="K26" s="12">
        <v>0</v>
      </c>
      <c r="L26" s="12">
        <v>0</v>
      </c>
      <c r="M26" s="11">
        <f>Tabla1312[[#This Row],[TRIMESTRE  I]]+Tabla1312[[#This Row],[TRIMESTRE II]]+Tabla1312[[#This Row],[TRIMESTRE III]]+Tabla1312[[#This Row],[TRIMESTRE IV]]</f>
        <v>100000</v>
      </c>
      <c r="N26" s="12"/>
      <c r="O26" s="12"/>
      <c r="P26" s="8"/>
    </row>
    <row r="27" spans="1:16" ht="37.5" customHeight="1" x14ac:dyDescent="0.2">
      <c r="A27" s="3">
        <v>33</v>
      </c>
      <c r="B27" s="4" t="s">
        <v>90</v>
      </c>
      <c r="C27" s="5">
        <v>536</v>
      </c>
      <c r="D27" s="46" t="s">
        <v>99</v>
      </c>
      <c r="E27" s="5" t="s">
        <v>110</v>
      </c>
      <c r="F27" s="47" t="s">
        <v>22</v>
      </c>
      <c r="G27" s="8">
        <v>383001</v>
      </c>
      <c r="H27" s="45" t="s">
        <v>106</v>
      </c>
      <c r="I27" s="12">
        <v>50000</v>
      </c>
      <c r="J27" s="12">
        <v>100000</v>
      </c>
      <c r="K27" s="12">
        <v>0</v>
      </c>
      <c r="L27" s="12">
        <v>0</v>
      </c>
      <c r="M27" s="11">
        <f>Tabla1312[[#This Row],[TRIMESTRE  I]]+Tabla1312[[#This Row],[TRIMESTRE II]]+Tabla1312[[#This Row],[TRIMESTRE III]]+Tabla1312[[#This Row],[TRIMESTRE IV]]</f>
        <v>150000</v>
      </c>
      <c r="N27" s="12"/>
      <c r="O27" s="12"/>
      <c r="P27" s="8"/>
    </row>
    <row r="28" spans="1:16" ht="37.5" customHeight="1" x14ac:dyDescent="0.2">
      <c r="A28" s="3">
        <v>801</v>
      </c>
      <c r="B28" s="4" t="s">
        <v>90</v>
      </c>
      <c r="C28" s="5">
        <v>536</v>
      </c>
      <c r="D28" s="46" t="s">
        <v>99</v>
      </c>
      <c r="E28" s="5" t="s">
        <v>114</v>
      </c>
      <c r="F28" s="47" t="s">
        <v>22</v>
      </c>
      <c r="G28" s="8">
        <v>371001</v>
      </c>
      <c r="H28" s="45" t="s">
        <v>31</v>
      </c>
      <c r="I28" s="12">
        <v>0</v>
      </c>
      <c r="J28" s="12">
        <v>0</v>
      </c>
      <c r="K28" s="12">
        <v>50000</v>
      </c>
      <c r="L28" s="12">
        <v>0</v>
      </c>
      <c r="M28" s="11">
        <f>Tabla1312[[#This Row],[TRIMESTRE  I]]+Tabla1312[[#This Row],[TRIMESTRE II]]+Tabla1312[[#This Row],[TRIMESTRE III]]+Tabla1312[[#This Row],[TRIMESTRE IV]]</f>
        <v>50000</v>
      </c>
      <c r="N28" s="12"/>
      <c r="O28" s="12"/>
      <c r="P28" s="8"/>
    </row>
    <row r="29" spans="1:16" ht="37.5" customHeight="1" x14ac:dyDescent="0.2">
      <c r="A29" s="3">
        <v>801</v>
      </c>
      <c r="B29" s="4" t="s">
        <v>90</v>
      </c>
      <c r="C29" s="5">
        <v>536</v>
      </c>
      <c r="D29" s="46" t="s">
        <v>99</v>
      </c>
      <c r="E29" s="5" t="s">
        <v>114</v>
      </c>
      <c r="F29" s="47" t="s">
        <v>22</v>
      </c>
      <c r="G29" s="8">
        <v>383001</v>
      </c>
      <c r="H29" s="45" t="s">
        <v>106</v>
      </c>
      <c r="I29" s="12">
        <v>50000</v>
      </c>
      <c r="J29" s="12">
        <v>0</v>
      </c>
      <c r="K29" s="12">
        <v>50000</v>
      </c>
      <c r="L29" s="12">
        <v>0</v>
      </c>
      <c r="M29" s="11">
        <f>Tabla1312[[#This Row],[TRIMESTRE  I]]+Tabla1312[[#This Row],[TRIMESTRE II]]+Tabla1312[[#This Row],[TRIMESTRE III]]+Tabla1312[[#This Row],[TRIMESTRE IV]]</f>
        <v>100000</v>
      </c>
      <c r="N29" s="12"/>
      <c r="O29" s="12"/>
      <c r="P29" s="8"/>
    </row>
    <row r="30" spans="1:16" ht="37.5" customHeight="1" x14ac:dyDescent="0.2">
      <c r="A30" s="3">
        <v>801</v>
      </c>
      <c r="B30" s="4" t="s">
        <v>90</v>
      </c>
      <c r="C30" s="5">
        <v>536</v>
      </c>
      <c r="D30" s="46" t="s">
        <v>109</v>
      </c>
      <c r="E30" s="5" t="s">
        <v>115</v>
      </c>
      <c r="F30" s="47" t="s">
        <v>22</v>
      </c>
      <c r="G30" s="8">
        <v>351002</v>
      </c>
      <c r="H30" s="45" t="s">
        <v>150</v>
      </c>
      <c r="I30" s="12">
        <v>50000</v>
      </c>
      <c r="J30" s="12">
        <v>0</v>
      </c>
      <c r="K30" s="12">
        <v>0</v>
      </c>
      <c r="L30" s="12">
        <v>0</v>
      </c>
      <c r="M30" s="11">
        <v>50000</v>
      </c>
      <c r="N30" s="12"/>
      <c r="O30" s="12"/>
      <c r="P30" s="8"/>
    </row>
    <row r="31" spans="1:16" ht="37.5" customHeight="1" x14ac:dyDescent="0.2">
      <c r="A31" s="3">
        <v>801</v>
      </c>
      <c r="B31" s="4" t="s">
        <v>90</v>
      </c>
      <c r="C31" s="5">
        <v>536</v>
      </c>
      <c r="D31" s="46" t="s">
        <v>99</v>
      </c>
      <c r="E31" s="5" t="s">
        <v>151</v>
      </c>
      <c r="F31" s="47" t="s">
        <v>15</v>
      </c>
      <c r="G31" s="8">
        <v>211001</v>
      </c>
      <c r="H31" s="45" t="s">
        <v>16</v>
      </c>
      <c r="I31" s="12">
        <v>25000</v>
      </c>
      <c r="J31" s="12">
        <v>40000</v>
      </c>
      <c r="K31" s="12">
        <v>27000</v>
      </c>
      <c r="L31" s="12">
        <v>0</v>
      </c>
      <c r="M31" s="11">
        <v>92000</v>
      </c>
      <c r="N31" s="12"/>
      <c r="O31" s="12"/>
      <c r="P31" s="8"/>
    </row>
    <row r="32" spans="1:16" ht="37.5" customHeight="1" x14ac:dyDescent="0.2">
      <c r="A32" s="3">
        <v>801</v>
      </c>
      <c r="B32" s="4" t="s">
        <v>90</v>
      </c>
      <c r="C32" s="5">
        <v>536</v>
      </c>
      <c r="D32" s="46" t="s">
        <v>99</v>
      </c>
      <c r="E32" s="5" t="s">
        <v>151</v>
      </c>
      <c r="F32" s="47" t="s">
        <v>15</v>
      </c>
      <c r="G32" s="8">
        <v>212001</v>
      </c>
      <c r="H32" s="45" t="s">
        <v>50</v>
      </c>
      <c r="I32" s="12">
        <v>5000</v>
      </c>
      <c r="J32" s="12">
        <v>5000</v>
      </c>
      <c r="K32" s="12"/>
      <c r="L32" s="12"/>
      <c r="M32" s="11">
        <v>10000</v>
      </c>
      <c r="N32" s="12"/>
      <c r="O32" s="12"/>
      <c r="P32" s="8"/>
    </row>
    <row r="33" spans="1:16" ht="37.5" customHeight="1" x14ac:dyDescent="0.2">
      <c r="A33" s="52">
        <v>801</v>
      </c>
      <c r="B33" s="53" t="s">
        <v>90</v>
      </c>
      <c r="C33" s="54">
        <v>536</v>
      </c>
      <c r="D33" s="55" t="s">
        <v>99</v>
      </c>
      <c r="E33" s="55" t="s">
        <v>151</v>
      </c>
      <c r="F33" s="55" t="s">
        <v>15</v>
      </c>
      <c r="G33" s="54">
        <v>214001</v>
      </c>
      <c r="H33" s="54" t="s">
        <v>92</v>
      </c>
      <c r="I33" s="56">
        <v>26200</v>
      </c>
      <c r="J33" s="56">
        <v>51800</v>
      </c>
      <c r="K33" s="56"/>
      <c r="L33" s="56"/>
      <c r="M33" s="56">
        <v>78000</v>
      </c>
      <c r="N33" s="12"/>
      <c r="O33" s="12"/>
      <c r="P33" s="8"/>
    </row>
    <row r="34" spans="1:16" ht="37.5" customHeight="1" x14ac:dyDescent="0.2">
      <c r="A34" s="52">
        <v>801</v>
      </c>
      <c r="B34" s="53" t="s">
        <v>90</v>
      </c>
      <c r="C34" s="54">
        <v>536</v>
      </c>
      <c r="D34" s="55" t="s">
        <v>99</v>
      </c>
      <c r="E34" s="55" t="s">
        <v>151</v>
      </c>
      <c r="F34" s="55" t="s">
        <v>15</v>
      </c>
      <c r="G34" s="54">
        <v>215001</v>
      </c>
      <c r="H34" s="54" t="s">
        <v>152</v>
      </c>
      <c r="I34" s="56">
        <v>5000</v>
      </c>
      <c r="J34" s="56">
        <v>4700</v>
      </c>
      <c r="K34" s="56">
        <v>0</v>
      </c>
      <c r="L34" s="56">
        <v>0</v>
      </c>
      <c r="M34" s="56">
        <v>9700</v>
      </c>
      <c r="N34" s="12"/>
      <c r="O34" s="12"/>
      <c r="P34" s="8"/>
    </row>
    <row r="35" spans="1:16" ht="37.5" customHeight="1" x14ac:dyDescent="0.2">
      <c r="A35" s="52">
        <v>801</v>
      </c>
      <c r="B35" s="53" t="s">
        <v>90</v>
      </c>
      <c r="C35" s="54">
        <v>536</v>
      </c>
      <c r="D35" s="55" t="s">
        <v>99</v>
      </c>
      <c r="E35" s="55" t="s">
        <v>151</v>
      </c>
      <c r="F35" s="55" t="s">
        <v>15</v>
      </c>
      <c r="G35" s="54">
        <v>216001</v>
      </c>
      <c r="H35" s="54" t="s">
        <v>18</v>
      </c>
      <c r="I35" s="56">
        <v>40000</v>
      </c>
      <c r="J35" s="56">
        <v>85000</v>
      </c>
      <c r="K35" s="56">
        <v>15000</v>
      </c>
      <c r="L35" s="56">
        <v>40000</v>
      </c>
      <c r="M35" s="56">
        <v>180000</v>
      </c>
      <c r="N35" s="12"/>
      <c r="O35" s="12"/>
      <c r="P35" s="8"/>
    </row>
    <row r="36" spans="1:16" ht="37.5" customHeight="1" x14ac:dyDescent="0.2">
      <c r="A36" s="52">
        <v>801</v>
      </c>
      <c r="B36" s="53" t="s">
        <v>90</v>
      </c>
      <c r="C36" s="54">
        <v>536</v>
      </c>
      <c r="D36" s="55" t="s">
        <v>99</v>
      </c>
      <c r="E36" s="55" t="s">
        <v>151</v>
      </c>
      <c r="F36" s="55" t="s">
        <v>15</v>
      </c>
      <c r="G36" s="54">
        <v>217001</v>
      </c>
      <c r="H36" s="54" t="s">
        <v>119</v>
      </c>
      <c r="I36" s="56">
        <v>20000</v>
      </c>
      <c r="J36" s="56">
        <v>0</v>
      </c>
      <c r="K36" s="56">
        <v>0</v>
      </c>
      <c r="L36" s="56">
        <v>15000</v>
      </c>
      <c r="M36" s="56">
        <v>35000</v>
      </c>
      <c r="N36" s="12"/>
      <c r="O36" s="12"/>
      <c r="P36" s="8"/>
    </row>
    <row r="37" spans="1:16" ht="37.5" customHeight="1" x14ac:dyDescent="0.2">
      <c r="A37" s="52">
        <v>801</v>
      </c>
      <c r="B37" s="53" t="s">
        <v>90</v>
      </c>
      <c r="C37" s="54">
        <v>536</v>
      </c>
      <c r="D37" s="55" t="s">
        <v>99</v>
      </c>
      <c r="E37" s="55" t="s">
        <v>151</v>
      </c>
      <c r="F37" s="55" t="s">
        <v>15</v>
      </c>
      <c r="G37" s="54">
        <v>261001</v>
      </c>
      <c r="H37" s="54" t="s">
        <v>46</v>
      </c>
      <c r="I37" s="56">
        <v>35000</v>
      </c>
      <c r="J37" s="56">
        <v>59000</v>
      </c>
      <c r="K37" s="56">
        <v>31000</v>
      </c>
      <c r="L37" s="56">
        <v>10000</v>
      </c>
      <c r="M37" s="56">
        <v>135000</v>
      </c>
      <c r="N37" s="12"/>
      <c r="O37" s="12"/>
      <c r="P37" s="8"/>
    </row>
    <row r="38" spans="1:16" ht="37.5" customHeight="1" x14ac:dyDescent="0.2">
      <c r="A38" s="52">
        <v>801</v>
      </c>
      <c r="B38" s="53" t="s">
        <v>90</v>
      </c>
      <c r="C38" s="54">
        <v>536</v>
      </c>
      <c r="D38" s="55" t="s">
        <v>99</v>
      </c>
      <c r="E38" s="55" t="s">
        <v>151</v>
      </c>
      <c r="F38" s="55" t="s">
        <v>15</v>
      </c>
      <c r="G38" s="54">
        <v>292001</v>
      </c>
      <c r="H38" s="54" t="s">
        <v>96</v>
      </c>
      <c r="I38" s="56">
        <v>5000</v>
      </c>
      <c r="J38" s="56">
        <v>5000</v>
      </c>
      <c r="K38" s="56"/>
      <c r="L38" s="56"/>
      <c r="M38" s="56">
        <v>10000</v>
      </c>
      <c r="N38" s="12"/>
      <c r="O38" s="12"/>
      <c r="P38" s="8"/>
    </row>
    <row r="39" spans="1:16" ht="37.5" customHeight="1" x14ac:dyDescent="0.2">
      <c r="A39" s="52">
        <v>801</v>
      </c>
      <c r="B39" s="53" t="s">
        <v>90</v>
      </c>
      <c r="C39" s="54">
        <v>536</v>
      </c>
      <c r="D39" s="55" t="s">
        <v>99</v>
      </c>
      <c r="E39" s="55" t="s">
        <v>151</v>
      </c>
      <c r="F39" s="55" t="s">
        <v>15</v>
      </c>
      <c r="G39" s="54">
        <v>294001</v>
      </c>
      <c r="H39" s="54" t="s">
        <v>113</v>
      </c>
      <c r="I39" s="56">
        <v>15000</v>
      </c>
      <c r="J39" s="56">
        <v>20000</v>
      </c>
      <c r="K39" s="56">
        <v>15000</v>
      </c>
      <c r="L39" s="56"/>
      <c r="M39" s="56">
        <v>50000</v>
      </c>
      <c r="N39" s="12"/>
      <c r="O39" s="12"/>
      <c r="P39" s="8"/>
    </row>
    <row r="40" spans="1:16" ht="37.5" customHeight="1" x14ac:dyDescent="0.2">
      <c r="A40" s="52">
        <v>801</v>
      </c>
      <c r="B40" s="53" t="s">
        <v>90</v>
      </c>
      <c r="C40" s="54">
        <v>536</v>
      </c>
      <c r="D40" s="55" t="s">
        <v>99</v>
      </c>
      <c r="E40" s="55" t="s">
        <v>151</v>
      </c>
      <c r="F40" s="55" t="s">
        <v>15</v>
      </c>
      <c r="G40" s="54">
        <v>294002</v>
      </c>
      <c r="H40" s="54" t="s">
        <v>122</v>
      </c>
      <c r="I40" s="56">
        <v>1500</v>
      </c>
      <c r="J40" s="56">
        <v>3500</v>
      </c>
      <c r="K40" s="56">
        <v>0</v>
      </c>
      <c r="L40" s="56">
        <v>0</v>
      </c>
      <c r="M40" s="56">
        <v>5000</v>
      </c>
      <c r="N40" s="12"/>
      <c r="O40" s="12"/>
      <c r="P40" s="8"/>
    </row>
    <row r="41" spans="1:16" ht="37.5" customHeight="1" x14ac:dyDescent="0.2">
      <c r="A41" s="52">
        <v>801</v>
      </c>
      <c r="B41" s="53" t="s">
        <v>90</v>
      </c>
      <c r="C41" s="54">
        <v>536</v>
      </c>
      <c r="D41" s="55" t="s">
        <v>99</v>
      </c>
      <c r="E41" s="55" t="s">
        <v>151</v>
      </c>
      <c r="F41" s="55" t="s">
        <v>22</v>
      </c>
      <c r="G41" s="54">
        <v>351001</v>
      </c>
      <c r="H41" s="54" t="s">
        <v>153</v>
      </c>
      <c r="I41" s="56">
        <v>7500</v>
      </c>
      <c r="J41" s="56">
        <v>7500</v>
      </c>
      <c r="K41" s="56">
        <v>0</v>
      </c>
      <c r="L41" s="56">
        <v>0</v>
      </c>
      <c r="M41" s="56">
        <v>15000</v>
      </c>
      <c r="N41" s="56"/>
      <c r="O41" s="12"/>
      <c r="P41" s="8"/>
    </row>
    <row r="42" spans="1:16" ht="37.5" customHeight="1" x14ac:dyDescent="0.2">
      <c r="A42" s="52">
        <v>801</v>
      </c>
      <c r="B42" s="53" t="s">
        <v>90</v>
      </c>
      <c r="C42" s="54">
        <v>536</v>
      </c>
      <c r="D42" s="55" t="s">
        <v>99</v>
      </c>
      <c r="E42" s="55" t="s">
        <v>151</v>
      </c>
      <c r="F42" s="55" t="s">
        <v>22</v>
      </c>
      <c r="G42" s="54">
        <v>351002</v>
      </c>
      <c r="H42" s="54" t="s">
        <v>154</v>
      </c>
      <c r="I42" s="56">
        <v>80000</v>
      </c>
      <c r="J42" s="56">
        <v>40000</v>
      </c>
      <c r="K42" s="56">
        <v>80000</v>
      </c>
      <c r="L42" s="56">
        <v>0</v>
      </c>
      <c r="M42" s="56">
        <v>200000</v>
      </c>
      <c r="N42" s="56"/>
      <c r="O42" s="12"/>
      <c r="P42" s="8"/>
    </row>
    <row r="43" spans="1:16" ht="37.5" customHeight="1" x14ac:dyDescent="0.2">
      <c r="A43" s="52">
        <v>801</v>
      </c>
      <c r="B43" s="53" t="s">
        <v>90</v>
      </c>
      <c r="C43" s="54">
        <v>536</v>
      </c>
      <c r="D43" s="55" t="s">
        <v>99</v>
      </c>
      <c r="E43" s="55" t="s">
        <v>151</v>
      </c>
      <c r="F43" s="55" t="s">
        <v>22</v>
      </c>
      <c r="G43" s="54">
        <v>358001</v>
      </c>
      <c r="H43" s="54" t="s">
        <v>155</v>
      </c>
      <c r="I43" s="56">
        <v>10000</v>
      </c>
      <c r="J43" s="56">
        <v>10000</v>
      </c>
      <c r="K43" s="56"/>
      <c r="L43" s="56"/>
      <c r="M43" s="56">
        <v>20000</v>
      </c>
      <c r="N43" s="56"/>
      <c r="O43" s="12"/>
      <c r="P43" s="8"/>
    </row>
    <row r="44" spans="1:16" ht="37.5" customHeight="1" x14ac:dyDescent="0.2">
      <c r="A44" s="52">
        <v>801</v>
      </c>
      <c r="B44" s="53" t="s">
        <v>90</v>
      </c>
      <c r="C44" s="54">
        <v>536</v>
      </c>
      <c r="D44" s="55" t="s">
        <v>99</v>
      </c>
      <c r="E44" s="55" t="s">
        <v>151</v>
      </c>
      <c r="F44" s="55" t="s">
        <v>22</v>
      </c>
      <c r="G44" s="54">
        <v>371001</v>
      </c>
      <c r="H44" s="54" t="s">
        <v>31</v>
      </c>
      <c r="I44" s="56">
        <v>12500</v>
      </c>
      <c r="J44" s="56">
        <v>10000</v>
      </c>
      <c r="K44" s="56">
        <v>12500</v>
      </c>
      <c r="L44" s="56">
        <v>0</v>
      </c>
      <c r="M44" s="56">
        <v>35000</v>
      </c>
      <c r="N44" s="56"/>
      <c r="O44" s="12"/>
      <c r="P44" s="8"/>
    </row>
    <row r="45" spans="1:16" ht="37.5" customHeight="1" x14ac:dyDescent="0.2">
      <c r="A45" s="3">
        <v>801</v>
      </c>
      <c r="B45" s="4" t="s">
        <v>90</v>
      </c>
      <c r="C45" s="5">
        <v>536</v>
      </c>
      <c r="D45" s="46" t="s">
        <v>99</v>
      </c>
      <c r="E45" s="5" t="s">
        <v>118</v>
      </c>
      <c r="F45" s="47" t="s">
        <v>22</v>
      </c>
      <c r="G45" s="8">
        <v>371001</v>
      </c>
      <c r="H45" s="45" t="s">
        <v>31</v>
      </c>
      <c r="I45" s="12">
        <v>30000</v>
      </c>
      <c r="J45" s="12">
        <v>30000</v>
      </c>
      <c r="K45" s="12">
        <v>0</v>
      </c>
      <c r="L45" s="12">
        <v>0</v>
      </c>
      <c r="M45" s="11">
        <v>60000</v>
      </c>
      <c r="N45" s="12"/>
      <c r="O45" s="12"/>
      <c r="P45" s="8"/>
    </row>
    <row r="46" spans="1:16" ht="37.5" customHeight="1" x14ac:dyDescent="0.2">
      <c r="A46" s="3">
        <v>801</v>
      </c>
      <c r="B46" s="4" t="s">
        <v>90</v>
      </c>
      <c r="C46" s="5">
        <v>536</v>
      </c>
      <c r="D46" s="46" t="s">
        <v>99</v>
      </c>
      <c r="E46" s="5" t="s">
        <v>156</v>
      </c>
      <c r="F46" s="47" t="s">
        <v>22</v>
      </c>
      <c r="G46" s="8">
        <v>351001</v>
      </c>
      <c r="H46" s="45" t="s">
        <v>153</v>
      </c>
      <c r="I46" s="12">
        <v>960000</v>
      </c>
      <c r="J46" s="12">
        <v>960000</v>
      </c>
      <c r="K46" s="12">
        <v>960000</v>
      </c>
      <c r="L46" s="12">
        <v>630000</v>
      </c>
      <c r="M46" s="11">
        <v>3510000</v>
      </c>
      <c r="N46" s="12"/>
      <c r="O46" s="12"/>
      <c r="P46" s="8"/>
    </row>
    <row r="47" spans="1:16" ht="37.5" customHeight="1" x14ac:dyDescent="0.2">
      <c r="A47" s="3">
        <v>801</v>
      </c>
      <c r="B47" s="4" t="s">
        <v>90</v>
      </c>
      <c r="C47" s="5">
        <v>536</v>
      </c>
      <c r="D47" s="46" t="s">
        <v>99</v>
      </c>
      <c r="E47" s="5" t="s">
        <v>120</v>
      </c>
      <c r="F47" s="47" t="s">
        <v>22</v>
      </c>
      <c r="G47" s="8">
        <v>366001</v>
      </c>
      <c r="H47" s="45" t="s">
        <v>157</v>
      </c>
      <c r="I47" s="12">
        <v>11000</v>
      </c>
      <c r="J47" s="12">
        <v>0</v>
      </c>
      <c r="K47" s="12">
        <v>0</v>
      </c>
      <c r="L47" s="12">
        <v>0</v>
      </c>
      <c r="M47" s="11">
        <v>11000</v>
      </c>
      <c r="N47" s="12"/>
      <c r="O47" s="12"/>
      <c r="P47" s="8"/>
    </row>
    <row r="48" spans="1:16" ht="37.5" customHeight="1" x14ac:dyDescent="0.2">
      <c r="A48" s="3">
        <v>801</v>
      </c>
      <c r="B48" s="4" t="s">
        <v>90</v>
      </c>
      <c r="C48" s="5">
        <v>536</v>
      </c>
      <c r="D48" s="46" t="s">
        <v>99</v>
      </c>
      <c r="E48" s="5" t="s">
        <v>121</v>
      </c>
      <c r="F48" s="47" t="s">
        <v>15</v>
      </c>
      <c r="G48" s="8">
        <v>211001</v>
      </c>
      <c r="H48" s="45" t="s">
        <v>16</v>
      </c>
      <c r="I48" s="12">
        <v>16500</v>
      </c>
      <c r="J48" s="12">
        <v>0</v>
      </c>
      <c r="K48" s="12">
        <v>0</v>
      </c>
      <c r="L48" s="12">
        <v>0</v>
      </c>
      <c r="M48" s="11">
        <v>16500</v>
      </c>
      <c r="N48" s="12"/>
      <c r="O48" s="12"/>
      <c r="P48" s="8"/>
    </row>
    <row r="49" spans="1:16" ht="37.5" customHeight="1" x14ac:dyDescent="0.2">
      <c r="A49" s="3">
        <v>801</v>
      </c>
      <c r="B49" s="4" t="s">
        <v>90</v>
      </c>
      <c r="C49" s="5">
        <v>536</v>
      </c>
      <c r="D49" s="46" t="s">
        <v>99</v>
      </c>
      <c r="E49" s="5" t="s">
        <v>121</v>
      </c>
      <c r="F49" s="47" t="s">
        <v>15</v>
      </c>
      <c r="G49" s="8">
        <v>212001</v>
      </c>
      <c r="H49" s="45" t="s">
        <v>50</v>
      </c>
      <c r="I49" s="12">
        <v>18000</v>
      </c>
      <c r="J49" s="12">
        <v>0</v>
      </c>
      <c r="K49" s="12">
        <v>0</v>
      </c>
      <c r="L49" s="12">
        <v>0</v>
      </c>
      <c r="M49" s="11">
        <v>18000</v>
      </c>
      <c r="N49" s="12"/>
      <c r="O49" s="12"/>
      <c r="P49" s="8"/>
    </row>
    <row r="50" spans="1:16" ht="37.5" customHeight="1" x14ac:dyDescent="0.2">
      <c r="A50" s="52">
        <v>801</v>
      </c>
      <c r="B50" s="53" t="s">
        <v>90</v>
      </c>
      <c r="C50" s="54">
        <v>536</v>
      </c>
      <c r="D50" s="55" t="s">
        <v>99</v>
      </c>
      <c r="E50" s="55" t="s">
        <v>121</v>
      </c>
      <c r="F50" s="55" t="s">
        <v>15</v>
      </c>
      <c r="G50" s="54">
        <v>294001</v>
      </c>
      <c r="H50" s="54" t="s">
        <v>113</v>
      </c>
      <c r="I50" s="56">
        <v>12000</v>
      </c>
      <c r="J50" s="56">
        <v>0</v>
      </c>
      <c r="K50" s="56">
        <v>0</v>
      </c>
      <c r="L50" s="56">
        <v>0</v>
      </c>
      <c r="M50" s="56">
        <v>12000</v>
      </c>
      <c r="N50" s="12"/>
      <c r="O50" s="12"/>
      <c r="P50" s="8"/>
    </row>
    <row r="51" spans="1:16" ht="37.5" customHeight="1" x14ac:dyDescent="0.2">
      <c r="A51" s="52">
        <v>801</v>
      </c>
      <c r="B51" s="53" t="s">
        <v>90</v>
      </c>
      <c r="C51" s="54">
        <v>536</v>
      </c>
      <c r="D51" s="55" t="s">
        <v>99</v>
      </c>
      <c r="E51" s="55" t="s">
        <v>121</v>
      </c>
      <c r="F51" s="55" t="s">
        <v>15</v>
      </c>
      <c r="G51" s="54">
        <v>294002</v>
      </c>
      <c r="H51" s="54" t="s">
        <v>122</v>
      </c>
      <c r="I51" s="56">
        <v>12000</v>
      </c>
      <c r="J51" s="56">
        <v>0</v>
      </c>
      <c r="K51" s="56">
        <v>0</v>
      </c>
      <c r="L51" s="56">
        <v>0</v>
      </c>
      <c r="M51" s="56">
        <v>12000</v>
      </c>
      <c r="N51" s="12"/>
      <c r="O51" s="12"/>
      <c r="P51" s="8"/>
    </row>
    <row r="52" spans="1:16" ht="37.5" customHeight="1" x14ac:dyDescent="0.2">
      <c r="A52" s="52">
        <v>801</v>
      </c>
      <c r="B52" s="53" t="s">
        <v>90</v>
      </c>
      <c r="C52" s="54">
        <v>536</v>
      </c>
      <c r="D52" s="55" t="s">
        <v>99</v>
      </c>
      <c r="E52" s="55" t="s">
        <v>121</v>
      </c>
      <c r="F52" s="55" t="s">
        <v>15</v>
      </c>
      <c r="G52" s="54">
        <v>214001</v>
      </c>
      <c r="H52" s="54" t="s">
        <v>92</v>
      </c>
      <c r="I52" s="56">
        <v>14000</v>
      </c>
      <c r="J52" s="56">
        <v>0</v>
      </c>
      <c r="K52" s="56">
        <v>0</v>
      </c>
      <c r="L52" s="56">
        <v>0</v>
      </c>
      <c r="M52" s="56">
        <v>14000</v>
      </c>
      <c r="N52" s="12"/>
      <c r="O52" s="12"/>
      <c r="P52" s="8"/>
    </row>
    <row r="53" spans="1:16" ht="37.5" customHeight="1" x14ac:dyDescent="0.2">
      <c r="A53" s="52">
        <v>801</v>
      </c>
      <c r="B53" s="53" t="s">
        <v>90</v>
      </c>
      <c r="C53" s="54">
        <v>536</v>
      </c>
      <c r="D53" s="55" t="s">
        <v>99</v>
      </c>
      <c r="E53" s="55" t="s">
        <v>121</v>
      </c>
      <c r="F53" s="55" t="s">
        <v>15</v>
      </c>
      <c r="G53" s="54">
        <v>216001</v>
      </c>
      <c r="H53" s="54" t="s">
        <v>18</v>
      </c>
      <c r="I53" s="56">
        <v>5000</v>
      </c>
      <c r="J53" s="56">
        <v>0</v>
      </c>
      <c r="K53" s="56">
        <v>0</v>
      </c>
      <c r="L53" s="56">
        <v>0</v>
      </c>
      <c r="M53" s="56">
        <v>5000</v>
      </c>
      <c r="N53" s="12"/>
      <c r="O53" s="12"/>
      <c r="P53" s="8"/>
    </row>
    <row r="54" spans="1:16" ht="37.5" customHeight="1" x14ac:dyDescent="0.2">
      <c r="A54" s="52">
        <v>801</v>
      </c>
      <c r="B54" s="53" t="s">
        <v>90</v>
      </c>
      <c r="C54" s="54">
        <v>536</v>
      </c>
      <c r="D54" s="55" t="s">
        <v>99</v>
      </c>
      <c r="E54" s="55" t="s">
        <v>121</v>
      </c>
      <c r="F54" s="55" t="s">
        <v>15</v>
      </c>
      <c r="G54" s="54">
        <v>261001</v>
      </c>
      <c r="H54" s="54" t="s">
        <v>46</v>
      </c>
      <c r="I54" s="56">
        <v>16500</v>
      </c>
      <c r="J54" s="56">
        <v>16500</v>
      </c>
      <c r="K54" s="56">
        <v>11000</v>
      </c>
      <c r="L54" s="56">
        <v>0</v>
      </c>
      <c r="M54" s="56">
        <v>44000</v>
      </c>
      <c r="N54" s="12"/>
      <c r="O54" s="12"/>
      <c r="P54" s="8"/>
    </row>
    <row r="55" spans="1:16" ht="37.5" customHeight="1" x14ac:dyDescent="0.2">
      <c r="A55" s="52">
        <v>801</v>
      </c>
      <c r="B55" s="53" t="s">
        <v>90</v>
      </c>
      <c r="C55" s="54">
        <v>536</v>
      </c>
      <c r="D55" s="55" t="s">
        <v>99</v>
      </c>
      <c r="E55" s="55" t="s">
        <v>121</v>
      </c>
      <c r="F55" s="55" t="s">
        <v>15</v>
      </c>
      <c r="G55" s="54">
        <v>293001</v>
      </c>
      <c r="H55" s="54" t="s">
        <v>28</v>
      </c>
      <c r="I55" s="56">
        <v>33000</v>
      </c>
      <c r="J55" s="56">
        <v>0</v>
      </c>
      <c r="K55" s="56">
        <v>0</v>
      </c>
      <c r="L55" s="56">
        <v>0</v>
      </c>
      <c r="M55" s="56">
        <v>33000</v>
      </c>
      <c r="N55" s="12"/>
      <c r="O55" s="12"/>
      <c r="P55" s="8"/>
    </row>
    <row r="56" spans="1:16" ht="37.5" customHeight="1" x14ac:dyDescent="0.2">
      <c r="A56" s="52">
        <v>801</v>
      </c>
      <c r="B56" s="53" t="s">
        <v>90</v>
      </c>
      <c r="C56" s="54">
        <v>536</v>
      </c>
      <c r="D56" s="55" t="s">
        <v>99</v>
      </c>
      <c r="E56" s="55" t="s">
        <v>121</v>
      </c>
      <c r="F56" s="55" t="s">
        <v>22</v>
      </c>
      <c r="G56" s="54">
        <v>317001</v>
      </c>
      <c r="H56" s="54" t="s">
        <v>158</v>
      </c>
      <c r="I56" s="56">
        <v>40000</v>
      </c>
      <c r="J56" s="56">
        <v>0</v>
      </c>
      <c r="K56" s="56">
        <v>0</v>
      </c>
      <c r="L56" s="56">
        <v>0</v>
      </c>
      <c r="M56" s="56">
        <v>40000</v>
      </c>
      <c r="N56" s="12"/>
      <c r="O56" s="12"/>
      <c r="P56" s="8"/>
    </row>
    <row r="57" spans="1:16" ht="37.5" customHeight="1" x14ac:dyDescent="0.2">
      <c r="A57" s="52">
        <v>801</v>
      </c>
      <c r="B57" s="53" t="s">
        <v>90</v>
      </c>
      <c r="C57" s="54">
        <v>536</v>
      </c>
      <c r="D57" s="55" t="s">
        <v>99</v>
      </c>
      <c r="E57" s="55" t="s">
        <v>121</v>
      </c>
      <c r="F57" s="55" t="s">
        <v>22</v>
      </c>
      <c r="G57" s="54">
        <v>334002</v>
      </c>
      <c r="H57" s="54" t="s">
        <v>159</v>
      </c>
      <c r="I57" s="56">
        <v>25000</v>
      </c>
      <c r="J57" s="56">
        <v>5000</v>
      </c>
      <c r="K57" s="56">
        <v>0</v>
      </c>
      <c r="L57" s="56">
        <v>0</v>
      </c>
      <c r="M57" s="56">
        <v>30000</v>
      </c>
      <c r="N57" s="12"/>
      <c r="O57" s="12"/>
      <c r="P57" s="8"/>
    </row>
    <row r="58" spans="1:16" ht="37.5" customHeight="1" x14ac:dyDescent="0.2">
      <c r="A58" s="52">
        <v>801</v>
      </c>
      <c r="B58" s="53" t="s">
        <v>90</v>
      </c>
      <c r="C58" s="54">
        <v>536</v>
      </c>
      <c r="D58" s="55" t="s">
        <v>99</v>
      </c>
      <c r="E58" s="55" t="s">
        <v>121</v>
      </c>
      <c r="F58" s="55" t="s">
        <v>22</v>
      </c>
      <c r="G58" s="54">
        <v>336002</v>
      </c>
      <c r="H58" s="54" t="s">
        <v>160</v>
      </c>
      <c r="I58" s="56">
        <v>15000</v>
      </c>
      <c r="J58" s="56">
        <v>0</v>
      </c>
      <c r="K58" s="56">
        <v>0</v>
      </c>
      <c r="L58" s="56">
        <v>0</v>
      </c>
      <c r="M58" s="56">
        <v>15000</v>
      </c>
      <c r="N58" s="12"/>
      <c r="O58" s="12"/>
      <c r="P58" s="8"/>
    </row>
    <row r="59" spans="1:16" ht="37.5" customHeight="1" x14ac:dyDescent="0.2">
      <c r="A59" s="52">
        <v>801</v>
      </c>
      <c r="B59" s="53" t="s">
        <v>90</v>
      </c>
      <c r="C59" s="54">
        <v>536</v>
      </c>
      <c r="D59" s="55" t="s">
        <v>99</v>
      </c>
      <c r="E59" s="55" t="s">
        <v>121</v>
      </c>
      <c r="F59" s="55" t="s">
        <v>22</v>
      </c>
      <c r="G59" s="54">
        <v>371001</v>
      </c>
      <c r="H59" s="54" t="s">
        <v>31</v>
      </c>
      <c r="I59" s="56">
        <v>16500</v>
      </c>
      <c r="J59" s="56">
        <v>5500</v>
      </c>
      <c r="K59" s="56">
        <v>0</v>
      </c>
      <c r="L59" s="56">
        <v>0</v>
      </c>
      <c r="M59" s="56">
        <v>22000</v>
      </c>
      <c r="N59" s="12"/>
      <c r="O59" s="12"/>
      <c r="P59" s="8"/>
    </row>
    <row r="60" spans="1:16" ht="37.5" customHeight="1" x14ac:dyDescent="0.2">
      <c r="A60" s="52">
        <v>801</v>
      </c>
      <c r="B60" s="53" t="s">
        <v>90</v>
      </c>
      <c r="C60" s="54">
        <v>536</v>
      </c>
      <c r="D60" s="55" t="s">
        <v>99</v>
      </c>
      <c r="E60" s="55" t="s">
        <v>121</v>
      </c>
      <c r="F60" s="55" t="s">
        <v>22</v>
      </c>
      <c r="G60" s="54">
        <v>383001</v>
      </c>
      <c r="H60" s="54" t="s">
        <v>106</v>
      </c>
      <c r="I60" s="56">
        <v>36000</v>
      </c>
      <c r="J60" s="56">
        <v>13500</v>
      </c>
      <c r="K60" s="56">
        <v>0</v>
      </c>
      <c r="L60" s="56">
        <v>0</v>
      </c>
      <c r="M60" s="56">
        <v>49500</v>
      </c>
      <c r="N60" s="12"/>
      <c r="O60" s="12"/>
      <c r="P60" s="8"/>
    </row>
    <row r="61" spans="1:16" ht="37.5" customHeight="1" x14ac:dyDescent="0.2">
      <c r="A61" s="3">
        <v>801</v>
      </c>
      <c r="B61" s="4" t="s">
        <v>90</v>
      </c>
      <c r="C61" s="5">
        <v>536</v>
      </c>
      <c r="D61" s="46" t="s">
        <v>99</v>
      </c>
      <c r="E61" s="5" t="s">
        <v>121</v>
      </c>
      <c r="F61" s="47" t="s">
        <v>22</v>
      </c>
      <c r="G61" s="8">
        <v>317001</v>
      </c>
      <c r="H61" s="45" t="s">
        <v>158</v>
      </c>
      <c r="I61" s="12">
        <v>40000</v>
      </c>
      <c r="J61" s="12">
        <v>0</v>
      </c>
      <c r="K61" s="12">
        <v>0</v>
      </c>
      <c r="L61" s="12">
        <v>0</v>
      </c>
      <c r="M61" s="11">
        <v>40000</v>
      </c>
      <c r="N61" s="12"/>
      <c r="O61" s="12"/>
      <c r="P61" s="8"/>
    </row>
    <row r="62" spans="1:16" ht="37.5" customHeight="1" x14ac:dyDescent="0.2">
      <c r="A62" s="3">
        <v>801</v>
      </c>
      <c r="B62" s="4" t="s">
        <v>90</v>
      </c>
      <c r="C62" s="5">
        <v>536</v>
      </c>
      <c r="D62" s="46" t="s">
        <v>99</v>
      </c>
      <c r="E62" s="5" t="s">
        <v>121</v>
      </c>
      <c r="F62" s="47" t="s">
        <v>22</v>
      </c>
      <c r="G62" s="8">
        <v>334002</v>
      </c>
      <c r="H62" s="45" t="s">
        <v>159</v>
      </c>
      <c r="I62" s="12">
        <v>25000</v>
      </c>
      <c r="J62" s="12">
        <v>5000</v>
      </c>
      <c r="K62" s="12">
        <v>0</v>
      </c>
      <c r="L62" s="12">
        <v>0</v>
      </c>
      <c r="M62" s="11">
        <v>30000</v>
      </c>
      <c r="N62" s="12"/>
      <c r="O62" s="12"/>
      <c r="P62" s="8"/>
    </row>
    <row r="63" spans="1:16" ht="37.5" customHeight="1" x14ac:dyDescent="0.2">
      <c r="A63" s="52">
        <v>801</v>
      </c>
      <c r="B63" s="53" t="s">
        <v>90</v>
      </c>
      <c r="C63" s="54">
        <v>536</v>
      </c>
      <c r="D63" s="55" t="s">
        <v>99</v>
      </c>
      <c r="E63" s="55" t="s">
        <v>121</v>
      </c>
      <c r="F63" s="55" t="s">
        <v>22</v>
      </c>
      <c r="G63" s="54">
        <v>336002</v>
      </c>
      <c r="H63" s="54" t="s">
        <v>160</v>
      </c>
      <c r="I63" s="56">
        <v>15000</v>
      </c>
      <c r="J63" s="56">
        <v>0</v>
      </c>
      <c r="K63" s="56">
        <v>0</v>
      </c>
      <c r="L63" s="56">
        <v>0</v>
      </c>
      <c r="M63" s="56">
        <v>15000</v>
      </c>
      <c r="N63" s="12"/>
      <c r="O63" s="12"/>
      <c r="P63" s="8"/>
    </row>
    <row r="64" spans="1:16" ht="44.25" customHeight="1" x14ac:dyDescent="0.2">
      <c r="A64" s="52">
        <v>801</v>
      </c>
      <c r="B64" s="53" t="s">
        <v>90</v>
      </c>
      <c r="C64" s="54">
        <v>536</v>
      </c>
      <c r="D64" s="55" t="s">
        <v>99</v>
      </c>
      <c r="E64" s="55" t="s">
        <v>121</v>
      </c>
      <c r="F64" s="55" t="s">
        <v>22</v>
      </c>
      <c r="G64" s="54">
        <v>371001</v>
      </c>
      <c r="H64" s="54" t="s">
        <v>31</v>
      </c>
      <c r="I64" s="56">
        <v>16500</v>
      </c>
      <c r="J64" s="56">
        <v>5500</v>
      </c>
      <c r="K64" s="56">
        <v>0</v>
      </c>
      <c r="L64" s="56">
        <v>0</v>
      </c>
      <c r="M64" s="56">
        <v>22000</v>
      </c>
      <c r="N64" s="12"/>
      <c r="O64" s="12"/>
      <c r="P64" s="8"/>
    </row>
    <row r="65" spans="1:16" ht="37.5" customHeight="1" x14ac:dyDescent="0.2">
      <c r="A65" s="52">
        <v>801</v>
      </c>
      <c r="B65" s="53" t="s">
        <v>90</v>
      </c>
      <c r="C65" s="54">
        <v>536</v>
      </c>
      <c r="D65" s="55" t="s">
        <v>99</v>
      </c>
      <c r="E65" s="55" t="s">
        <v>121</v>
      </c>
      <c r="F65" s="55" t="s">
        <v>22</v>
      </c>
      <c r="G65" s="54">
        <v>383001</v>
      </c>
      <c r="H65" s="54" t="s">
        <v>106</v>
      </c>
      <c r="I65" s="56">
        <v>36000</v>
      </c>
      <c r="J65" s="56">
        <v>13500</v>
      </c>
      <c r="K65" s="56">
        <v>0</v>
      </c>
      <c r="L65" s="56">
        <v>0</v>
      </c>
      <c r="M65" s="56">
        <v>49500</v>
      </c>
      <c r="N65" s="12"/>
      <c r="O65" s="12"/>
      <c r="P65" s="8"/>
    </row>
    <row r="66" spans="1:16" ht="37.5" customHeight="1" x14ac:dyDescent="0.2">
      <c r="A66" s="58" t="s">
        <v>116</v>
      </c>
      <c r="B66" s="4" t="s">
        <v>90</v>
      </c>
      <c r="C66" s="5">
        <v>536</v>
      </c>
      <c r="D66" s="46" t="s">
        <v>140</v>
      </c>
      <c r="E66" s="5" t="s">
        <v>117</v>
      </c>
      <c r="F66" s="5" t="s">
        <v>22</v>
      </c>
      <c r="G66" s="8">
        <v>336002</v>
      </c>
      <c r="H66" s="45" t="s">
        <v>160</v>
      </c>
      <c r="I66" s="12">
        <v>0</v>
      </c>
      <c r="J66" s="12">
        <v>9000</v>
      </c>
      <c r="K66" s="12">
        <v>0</v>
      </c>
      <c r="L66" s="12">
        <v>0</v>
      </c>
      <c r="M66" s="11">
        <f>Tabla1312[[#This Row],[TRIMESTRE IV]]+Tabla1312[[#This Row],[TRIMESTRE III]]+Tabla1312[[#This Row],[TRIMESTRE II]]+Tabla1312[[#This Row],[TRIMESTRE  I]]</f>
        <v>9000</v>
      </c>
      <c r="N66" s="12"/>
      <c r="O66" s="12"/>
      <c r="P66" s="8"/>
    </row>
    <row r="67" spans="1:16" ht="37.5" customHeight="1" x14ac:dyDescent="0.2">
      <c r="A67" s="58" t="s">
        <v>116</v>
      </c>
      <c r="B67" s="4" t="s">
        <v>90</v>
      </c>
      <c r="C67" s="5">
        <v>536</v>
      </c>
      <c r="D67" s="46" t="s">
        <v>140</v>
      </c>
      <c r="E67" s="5" t="s">
        <v>117</v>
      </c>
      <c r="F67" s="5" t="s">
        <v>22</v>
      </c>
      <c r="G67" s="8">
        <v>371001</v>
      </c>
      <c r="H67" s="45" t="s">
        <v>31</v>
      </c>
      <c r="I67" s="12">
        <v>0</v>
      </c>
      <c r="J67" s="12">
        <v>80000</v>
      </c>
      <c r="K67" s="12">
        <v>0</v>
      </c>
      <c r="L67" s="12">
        <v>0</v>
      </c>
      <c r="M67" s="11">
        <f>Tabla1312[[#This Row],[TRIMESTRE IV]]+Tabla1312[[#This Row],[TRIMESTRE III]]+Tabla1312[[#This Row],[TRIMESTRE II]]+Tabla1312[[#This Row],[TRIMESTRE  I]]</f>
        <v>80000</v>
      </c>
      <c r="N67" s="12"/>
      <c r="O67" s="12"/>
      <c r="P67" s="8"/>
    </row>
    <row r="68" spans="1:16" ht="37.5" customHeight="1" x14ac:dyDescent="0.2">
      <c r="A68" s="58" t="s">
        <v>116</v>
      </c>
      <c r="B68" s="4" t="s">
        <v>90</v>
      </c>
      <c r="C68" s="5">
        <v>536</v>
      </c>
      <c r="D68" s="46" t="s">
        <v>140</v>
      </c>
      <c r="E68" s="5" t="s">
        <v>117</v>
      </c>
      <c r="F68" s="5" t="s">
        <v>22</v>
      </c>
      <c r="G68" s="8">
        <v>383001</v>
      </c>
      <c r="H68" s="45" t="s">
        <v>106</v>
      </c>
      <c r="I68" s="12">
        <v>60000</v>
      </c>
      <c r="J68" s="12">
        <v>60000</v>
      </c>
      <c r="K68" s="12">
        <v>0</v>
      </c>
      <c r="L68" s="12">
        <v>0</v>
      </c>
      <c r="M68" s="11">
        <f>Tabla1312[[#This Row],[TRIMESTRE IV]]+Tabla1312[[#This Row],[TRIMESTRE III]]+Tabla1312[[#This Row],[TRIMESTRE II]]+Tabla1312[[#This Row],[TRIMESTRE  I]]</f>
        <v>120000</v>
      </c>
      <c r="N68" s="12"/>
      <c r="O68" s="12"/>
      <c r="P68" s="8"/>
    </row>
    <row r="69" spans="1:16" ht="37.5" customHeight="1" x14ac:dyDescent="0.2">
      <c r="A69" s="58" t="s">
        <v>116</v>
      </c>
      <c r="B69" s="4" t="s">
        <v>90</v>
      </c>
      <c r="C69" s="5">
        <v>536</v>
      </c>
      <c r="D69" s="46" t="s">
        <v>140</v>
      </c>
      <c r="E69" s="5" t="s">
        <v>117</v>
      </c>
      <c r="F69" s="5" t="s">
        <v>22</v>
      </c>
      <c r="G69" s="8">
        <v>351002</v>
      </c>
      <c r="H69" s="45" t="s">
        <v>154</v>
      </c>
      <c r="I69" s="12">
        <v>50000</v>
      </c>
      <c r="J69" s="12">
        <v>50000</v>
      </c>
      <c r="K69" s="12">
        <v>0</v>
      </c>
      <c r="L69" s="12">
        <v>0</v>
      </c>
      <c r="M69" s="11">
        <f>Tabla1312[[#This Row],[TRIMESTRE IV]]+Tabla1312[[#This Row],[TRIMESTRE III]]+Tabla1312[[#This Row],[TRIMESTRE II]]+Tabla1312[[#This Row],[TRIMESTRE  I]]</f>
        <v>100000</v>
      </c>
      <c r="N69" s="12"/>
      <c r="O69" s="12"/>
      <c r="P69" s="8"/>
    </row>
    <row r="70" spans="1:16" ht="37.5" customHeight="1" x14ac:dyDescent="0.2">
      <c r="A70" s="58" t="s">
        <v>116</v>
      </c>
      <c r="B70" s="4" t="s">
        <v>90</v>
      </c>
      <c r="C70" s="5">
        <v>536</v>
      </c>
      <c r="D70" s="46" t="s">
        <v>140</v>
      </c>
      <c r="E70" s="5" t="s">
        <v>117</v>
      </c>
      <c r="F70" s="5" t="s">
        <v>22</v>
      </c>
      <c r="G70" s="8">
        <v>358001</v>
      </c>
      <c r="H70" s="45" t="s">
        <v>155</v>
      </c>
      <c r="I70" s="12">
        <v>0</v>
      </c>
      <c r="J70" s="12">
        <v>90000</v>
      </c>
      <c r="K70" s="12">
        <v>90000</v>
      </c>
      <c r="L70" s="12">
        <v>0</v>
      </c>
      <c r="M70" s="11">
        <f>Tabla1312[[#This Row],[TRIMESTRE IV]]+Tabla1312[[#This Row],[TRIMESTRE III]]+Tabla1312[[#This Row],[TRIMESTRE II]]+Tabla1312[[#This Row],[TRIMESTRE  I]]</f>
        <v>180000</v>
      </c>
      <c r="N70" s="12"/>
      <c r="O70" s="12"/>
      <c r="P70" s="8"/>
    </row>
    <row r="71" spans="1:16" ht="37.5" customHeight="1" x14ac:dyDescent="0.2">
      <c r="A71" s="58">
        <v>801</v>
      </c>
      <c r="B71" s="4" t="s">
        <v>90</v>
      </c>
      <c r="C71" s="5">
        <v>536</v>
      </c>
      <c r="D71" s="46" t="s">
        <v>99</v>
      </c>
      <c r="E71" s="5" t="s">
        <v>123</v>
      </c>
      <c r="F71" s="5" t="s">
        <v>15</v>
      </c>
      <c r="G71" s="8">
        <v>211001</v>
      </c>
      <c r="H71" s="45" t="s">
        <v>16</v>
      </c>
      <c r="I71" s="12">
        <v>9900</v>
      </c>
      <c r="J71" s="12">
        <v>9900</v>
      </c>
      <c r="K71" s="12">
        <v>9900</v>
      </c>
      <c r="L71" s="12">
        <v>9900</v>
      </c>
      <c r="M71" s="11">
        <v>39600</v>
      </c>
      <c r="N71" s="12"/>
      <c r="O71" s="12"/>
      <c r="P71" s="8"/>
    </row>
    <row r="72" spans="1:16" ht="37.5" customHeight="1" x14ac:dyDescent="0.2">
      <c r="A72" s="58">
        <v>801</v>
      </c>
      <c r="B72" s="4" t="s">
        <v>90</v>
      </c>
      <c r="C72" s="5">
        <v>536</v>
      </c>
      <c r="D72" s="46" t="s">
        <v>99</v>
      </c>
      <c r="E72" s="5" t="s">
        <v>123</v>
      </c>
      <c r="F72" s="5" t="s">
        <v>15</v>
      </c>
      <c r="G72" s="8">
        <v>261001</v>
      </c>
      <c r="H72" s="45" t="s">
        <v>46</v>
      </c>
      <c r="I72" s="12">
        <v>18000</v>
      </c>
      <c r="J72" s="12">
        <v>18000</v>
      </c>
      <c r="K72" s="12">
        <v>23000</v>
      </c>
      <c r="L72" s="12">
        <v>21000</v>
      </c>
      <c r="M72" s="11">
        <v>80000</v>
      </c>
      <c r="N72" s="12"/>
      <c r="O72" s="12"/>
      <c r="P72" s="8"/>
    </row>
    <row r="73" spans="1:16" ht="37.5" customHeight="1" x14ac:dyDescent="0.2">
      <c r="A73" s="58">
        <v>801</v>
      </c>
      <c r="B73" s="4" t="s">
        <v>90</v>
      </c>
      <c r="C73" s="5">
        <v>536</v>
      </c>
      <c r="D73" s="46" t="s">
        <v>99</v>
      </c>
      <c r="E73" s="5" t="s">
        <v>123</v>
      </c>
      <c r="F73" s="5" t="s">
        <v>15</v>
      </c>
      <c r="G73" s="8">
        <v>272002</v>
      </c>
      <c r="H73" s="45" t="s">
        <v>124</v>
      </c>
      <c r="I73" s="12">
        <v>20000</v>
      </c>
      <c r="J73" s="12">
        <v>20000</v>
      </c>
      <c r="K73" s="12">
        <v>30000</v>
      </c>
      <c r="L73" s="12">
        <v>10000</v>
      </c>
      <c r="M73" s="11">
        <v>80000</v>
      </c>
      <c r="N73" s="12"/>
      <c r="O73" s="12"/>
      <c r="P73" s="8"/>
    </row>
    <row r="74" spans="1:16" ht="37.5" customHeight="1" x14ac:dyDescent="0.2">
      <c r="A74" s="58">
        <v>801</v>
      </c>
      <c r="B74" s="4" t="s">
        <v>90</v>
      </c>
      <c r="C74" s="5">
        <v>536</v>
      </c>
      <c r="D74" s="46" t="s">
        <v>99</v>
      </c>
      <c r="E74" s="5" t="s">
        <v>123</v>
      </c>
      <c r="F74" s="5" t="s">
        <v>22</v>
      </c>
      <c r="G74" s="8">
        <v>356001</v>
      </c>
      <c r="H74" s="45" t="s">
        <v>161</v>
      </c>
      <c r="I74" s="12">
        <v>0</v>
      </c>
      <c r="J74" s="12">
        <v>75000</v>
      </c>
      <c r="K74" s="12">
        <v>25000</v>
      </c>
      <c r="L74" s="12">
        <v>50000</v>
      </c>
      <c r="M74" s="11">
        <v>150000</v>
      </c>
      <c r="N74" s="12"/>
      <c r="O74" s="12"/>
      <c r="P74" s="8"/>
    </row>
    <row r="75" spans="1:16" ht="37.5" customHeight="1" x14ac:dyDescent="0.2">
      <c r="A75" s="58">
        <v>8001</v>
      </c>
      <c r="B75" s="4" t="s">
        <v>90</v>
      </c>
      <c r="C75" s="5">
        <v>536</v>
      </c>
      <c r="D75" s="46" t="s">
        <v>99</v>
      </c>
      <c r="E75" s="5" t="s">
        <v>125</v>
      </c>
      <c r="F75" s="5" t="s">
        <v>22</v>
      </c>
      <c r="G75" s="8">
        <v>371001</v>
      </c>
      <c r="H75" s="45" t="s">
        <v>31</v>
      </c>
      <c r="I75" s="12">
        <v>20000</v>
      </c>
      <c r="J75" s="12">
        <v>30000</v>
      </c>
      <c r="K75" s="12">
        <v>20000</v>
      </c>
      <c r="L75" s="12">
        <v>0</v>
      </c>
      <c r="M75" s="11">
        <v>70000</v>
      </c>
      <c r="N75" s="12"/>
      <c r="O75" s="12"/>
      <c r="P75" s="8"/>
    </row>
    <row r="76" spans="1:16" ht="37.5" customHeight="1" x14ac:dyDescent="0.2">
      <c r="A76" s="58">
        <v>8001</v>
      </c>
      <c r="B76" s="4" t="s">
        <v>90</v>
      </c>
      <c r="C76" s="5">
        <v>536</v>
      </c>
      <c r="D76" s="46" t="s">
        <v>99</v>
      </c>
      <c r="E76" s="5" t="s">
        <v>125</v>
      </c>
      <c r="F76" s="5" t="s">
        <v>22</v>
      </c>
      <c r="G76" s="8">
        <v>383001</v>
      </c>
      <c r="H76" s="45" t="s">
        <v>106</v>
      </c>
      <c r="I76" s="12">
        <v>0</v>
      </c>
      <c r="J76" s="12">
        <v>120000</v>
      </c>
      <c r="K76" s="12">
        <v>0</v>
      </c>
      <c r="L76" s="12">
        <v>0</v>
      </c>
      <c r="M76" s="11">
        <v>120000</v>
      </c>
      <c r="N76" s="12"/>
      <c r="O76" s="12"/>
      <c r="P76" s="8"/>
    </row>
    <row r="77" spans="1:16" ht="37.5" customHeight="1" x14ac:dyDescent="0.2">
      <c r="A77" s="58">
        <v>8001</v>
      </c>
      <c r="B77" s="4" t="s">
        <v>90</v>
      </c>
      <c r="C77" s="5">
        <v>536</v>
      </c>
      <c r="D77" s="46" t="s">
        <v>99</v>
      </c>
      <c r="E77" s="5" t="s">
        <v>126</v>
      </c>
      <c r="F77" s="5" t="s">
        <v>22</v>
      </c>
      <c r="G77" s="8">
        <v>351002</v>
      </c>
      <c r="H77" s="45" t="s">
        <v>154</v>
      </c>
      <c r="I77" s="12">
        <v>31000</v>
      </c>
      <c r="J77" s="12">
        <v>0</v>
      </c>
      <c r="K77" s="12">
        <v>0</v>
      </c>
      <c r="L77" s="12">
        <v>0</v>
      </c>
      <c r="M77" s="11">
        <v>31000</v>
      </c>
      <c r="N77" s="12"/>
      <c r="O77" s="12"/>
      <c r="P77" s="8"/>
    </row>
    <row r="78" spans="1:16" ht="37.5" customHeight="1" x14ac:dyDescent="0.2">
      <c r="A78" s="58">
        <v>8001</v>
      </c>
      <c r="B78" s="4" t="s">
        <v>90</v>
      </c>
      <c r="C78" s="5">
        <v>536</v>
      </c>
      <c r="D78" s="46" t="s">
        <v>99</v>
      </c>
      <c r="E78" s="5" t="s">
        <v>127</v>
      </c>
      <c r="F78" s="5" t="s">
        <v>22</v>
      </c>
      <c r="G78" s="8">
        <v>351002</v>
      </c>
      <c r="H78" s="45" t="s">
        <v>154</v>
      </c>
      <c r="I78" s="12">
        <v>31000</v>
      </c>
      <c r="J78" s="12">
        <v>0</v>
      </c>
      <c r="K78" s="12">
        <v>0</v>
      </c>
      <c r="L78" s="12">
        <v>0</v>
      </c>
      <c r="M78" s="11">
        <v>31000</v>
      </c>
      <c r="N78" s="12"/>
      <c r="O78" s="12"/>
      <c r="P78" s="8"/>
    </row>
    <row r="79" spans="1:16" ht="37.5" customHeight="1" x14ac:dyDescent="0.2">
      <c r="A79" s="58">
        <v>8001</v>
      </c>
      <c r="B79" s="4" t="s">
        <v>90</v>
      </c>
      <c r="C79" s="5">
        <v>536</v>
      </c>
      <c r="D79" s="46" t="s">
        <v>99</v>
      </c>
      <c r="E79" s="5" t="s">
        <v>128</v>
      </c>
      <c r="F79" s="5" t="s">
        <v>22</v>
      </c>
      <c r="G79" s="8">
        <v>312001</v>
      </c>
      <c r="H79" s="45" t="s">
        <v>162</v>
      </c>
      <c r="I79" s="12">
        <v>5000</v>
      </c>
      <c r="J79" s="12">
        <v>5000</v>
      </c>
      <c r="K79" s="12">
        <v>5000</v>
      </c>
      <c r="L79" s="12">
        <v>5000</v>
      </c>
      <c r="M79" s="11">
        <v>20000</v>
      </c>
      <c r="N79" s="12"/>
      <c r="O79" s="12"/>
      <c r="P79" s="8"/>
    </row>
    <row r="80" spans="1:16" ht="37.5" customHeight="1" x14ac:dyDescent="0.2">
      <c r="A80" s="58" t="s">
        <v>163</v>
      </c>
      <c r="B80" s="4" t="s">
        <v>90</v>
      </c>
      <c r="C80" s="5">
        <v>536</v>
      </c>
      <c r="D80" s="46" t="s">
        <v>99</v>
      </c>
      <c r="E80" s="5" t="s">
        <v>164</v>
      </c>
      <c r="F80" s="5" t="s">
        <v>22</v>
      </c>
      <c r="G80" s="8">
        <v>371001</v>
      </c>
      <c r="H80" s="45" t="s">
        <v>31</v>
      </c>
      <c r="I80" s="12"/>
      <c r="J80" s="12">
        <v>32000</v>
      </c>
      <c r="K80" s="12">
        <v>16000</v>
      </c>
      <c r="L80" s="12">
        <v>20000</v>
      </c>
      <c r="M80" s="11">
        <f>Tabla1312[[#This Row],[TRIMESTRE  I]]+Tabla1312[[#This Row],[TRIMESTRE II]]+Tabla1312[[#This Row],[TRIMESTRE III]]+Tabla1312[[#This Row],[TRIMESTRE IV]]</f>
        <v>68000</v>
      </c>
      <c r="N80" s="12"/>
      <c r="O80" s="12"/>
      <c r="P80" s="8"/>
    </row>
    <row r="81" spans="1:16" ht="37.5" customHeight="1" x14ac:dyDescent="0.2">
      <c r="A81" s="58" t="s">
        <v>165</v>
      </c>
      <c r="B81" s="4" t="s">
        <v>90</v>
      </c>
      <c r="C81" s="5">
        <v>536</v>
      </c>
      <c r="D81" s="46" t="s">
        <v>99</v>
      </c>
      <c r="E81" s="5" t="s">
        <v>164</v>
      </c>
      <c r="F81" s="5" t="s">
        <v>22</v>
      </c>
      <c r="G81" s="8">
        <v>375001</v>
      </c>
      <c r="H81" s="45" t="s">
        <v>48</v>
      </c>
      <c r="I81" s="12">
        <v>10000</v>
      </c>
      <c r="J81" s="12">
        <v>15000</v>
      </c>
      <c r="K81" s="12">
        <v>24000</v>
      </c>
      <c r="L81" s="12">
        <v>15000</v>
      </c>
      <c r="M81" s="11">
        <v>64000</v>
      </c>
      <c r="N81" s="12"/>
      <c r="O81" s="12"/>
      <c r="P81" s="8"/>
    </row>
    <row r="82" spans="1:16" ht="37.5" customHeight="1" x14ac:dyDescent="0.2">
      <c r="A82" s="58" t="s">
        <v>165</v>
      </c>
      <c r="B82" s="4" t="s">
        <v>90</v>
      </c>
      <c r="C82" s="5">
        <v>536</v>
      </c>
      <c r="D82" s="46" t="s">
        <v>99</v>
      </c>
      <c r="E82" s="5" t="s">
        <v>164</v>
      </c>
      <c r="F82" s="5" t="s">
        <v>22</v>
      </c>
      <c r="G82" s="8">
        <v>333003</v>
      </c>
      <c r="H82" s="45" t="s">
        <v>29</v>
      </c>
      <c r="I82" s="12">
        <v>1600000</v>
      </c>
      <c r="J82" s="12">
        <v>0</v>
      </c>
      <c r="K82" s="12">
        <v>0</v>
      </c>
      <c r="L82" s="12">
        <v>0</v>
      </c>
      <c r="M82" s="11">
        <v>1600000</v>
      </c>
      <c r="N82" s="12"/>
      <c r="O82" s="12"/>
      <c r="P82" s="8"/>
    </row>
    <row r="83" spans="1:16" ht="37.5" customHeight="1" x14ac:dyDescent="0.2">
      <c r="A83" s="3">
        <v>33</v>
      </c>
      <c r="B83" s="4" t="s">
        <v>129</v>
      </c>
      <c r="C83" s="5">
        <v>536</v>
      </c>
      <c r="D83" s="46" t="s">
        <v>99</v>
      </c>
      <c r="E83" s="5" t="s">
        <v>130</v>
      </c>
      <c r="F83" s="5" t="s">
        <v>22</v>
      </c>
      <c r="G83" s="8">
        <v>336002</v>
      </c>
      <c r="H83" s="45" t="s">
        <v>160</v>
      </c>
      <c r="I83" s="12">
        <v>9000</v>
      </c>
      <c r="J83" s="12">
        <v>9000</v>
      </c>
      <c r="K83" s="12">
        <v>9000</v>
      </c>
      <c r="L83" s="12">
        <v>3000</v>
      </c>
      <c r="M83" s="11">
        <v>30000</v>
      </c>
      <c r="N83" s="12"/>
      <c r="O83" s="12"/>
      <c r="P83" s="8"/>
    </row>
    <row r="84" spans="1:16" ht="37.5" customHeight="1" x14ac:dyDescent="0.2">
      <c r="A84" s="3">
        <v>33</v>
      </c>
      <c r="B84" s="4" t="s">
        <v>129</v>
      </c>
      <c r="C84" s="5">
        <v>536</v>
      </c>
      <c r="D84" s="46" t="s">
        <v>99</v>
      </c>
      <c r="E84" s="5" t="s">
        <v>130</v>
      </c>
      <c r="F84" s="5" t="s">
        <v>22</v>
      </c>
      <c r="G84" s="8">
        <v>358001</v>
      </c>
      <c r="H84" s="45" t="s">
        <v>155</v>
      </c>
      <c r="I84" s="12">
        <v>95000</v>
      </c>
      <c r="J84" s="12">
        <v>0</v>
      </c>
      <c r="K84" s="12">
        <v>0</v>
      </c>
      <c r="L84" s="12">
        <v>0</v>
      </c>
      <c r="M84" s="11">
        <v>95000</v>
      </c>
      <c r="N84" s="12"/>
      <c r="O84" s="12"/>
      <c r="P84" s="8"/>
    </row>
    <row r="85" spans="1:16" ht="37.5" customHeight="1" x14ac:dyDescent="0.2">
      <c r="A85" s="52">
        <v>33</v>
      </c>
      <c r="B85" s="53" t="s">
        <v>129</v>
      </c>
      <c r="C85" s="54">
        <v>536</v>
      </c>
      <c r="D85" s="55" t="s">
        <v>99</v>
      </c>
      <c r="E85" s="55" t="s">
        <v>130</v>
      </c>
      <c r="F85" s="55" t="s">
        <v>22</v>
      </c>
      <c r="G85" s="54">
        <v>371001</v>
      </c>
      <c r="H85" s="54" t="s">
        <v>31</v>
      </c>
      <c r="I85" s="56">
        <v>50000</v>
      </c>
      <c r="J85" s="56">
        <v>35000</v>
      </c>
      <c r="K85" s="56">
        <v>0</v>
      </c>
      <c r="L85" s="56">
        <v>0</v>
      </c>
      <c r="M85" s="56">
        <v>85000</v>
      </c>
      <c r="N85" s="12"/>
      <c r="O85" s="12"/>
      <c r="P85" s="8"/>
    </row>
    <row r="86" spans="1:16" ht="37.5" customHeight="1" x14ac:dyDescent="0.2">
      <c r="A86" s="52">
        <v>33</v>
      </c>
      <c r="B86" s="53" t="s">
        <v>129</v>
      </c>
      <c r="C86" s="54">
        <v>536</v>
      </c>
      <c r="D86" s="55" t="s">
        <v>99</v>
      </c>
      <c r="E86" s="55" t="s">
        <v>130</v>
      </c>
      <c r="F86" s="55" t="s">
        <v>22</v>
      </c>
      <c r="G86" s="54">
        <v>383001</v>
      </c>
      <c r="H86" s="54" t="s">
        <v>106</v>
      </c>
      <c r="I86" s="56">
        <v>160000</v>
      </c>
      <c r="J86" s="56">
        <v>0</v>
      </c>
      <c r="K86" s="56">
        <v>0</v>
      </c>
      <c r="L86" s="56">
        <v>0</v>
      </c>
      <c r="M86" s="56">
        <v>160000</v>
      </c>
      <c r="N86" s="12"/>
      <c r="O86" s="12"/>
      <c r="P86" s="8"/>
    </row>
    <row r="87" spans="1:16" ht="37.5" customHeight="1" x14ac:dyDescent="0.2">
      <c r="A87" s="52">
        <v>33</v>
      </c>
      <c r="B87" s="53" t="s">
        <v>129</v>
      </c>
      <c r="C87" s="54">
        <v>536</v>
      </c>
      <c r="D87" s="55" t="s">
        <v>99</v>
      </c>
      <c r="E87" s="55" t="s">
        <v>130</v>
      </c>
      <c r="F87" s="55" t="s">
        <v>22</v>
      </c>
      <c r="G87" s="54">
        <v>329001</v>
      </c>
      <c r="H87" s="54" t="s">
        <v>166</v>
      </c>
      <c r="I87" s="56">
        <v>200000</v>
      </c>
      <c r="J87" s="56">
        <v>0</v>
      </c>
      <c r="K87" s="56">
        <v>0</v>
      </c>
      <c r="L87" s="56">
        <v>0</v>
      </c>
      <c r="M87" s="56">
        <v>200000</v>
      </c>
      <c r="N87" s="12"/>
      <c r="O87" s="12"/>
      <c r="P87" s="8"/>
    </row>
    <row r="88" spans="1:16" ht="37.5" customHeight="1" x14ac:dyDescent="0.2">
      <c r="A88" s="52">
        <v>33</v>
      </c>
      <c r="B88" s="53" t="s">
        <v>129</v>
      </c>
      <c r="C88" s="54">
        <v>536</v>
      </c>
      <c r="D88" s="55" t="s">
        <v>99</v>
      </c>
      <c r="E88" s="55" t="s">
        <v>130</v>
      </c>
      <c r="F88" s="55" t="s">
        <v>22</v>
      </c>
      <c r="G88" s="54">
        <v>351002</v>
      </c>
      <c r="H88" s="54" t="s">
        <v>154</v>
      </c>
      <c r="I88" s="56">
        <v>0</v>
      </c>
      <c r="J88" s="56">
        <v>0</v>
      </c>
      <c r="K88" s="56">
        <v>140000</v>
      </c>
      <c r="L88" s="56">
        <v>0</v>
      </c>
      <c r="M88" s="56">
        <v>140000</v>
      </c>
      <c r="N88" s="12"/>
      <c r="O88" s="12"/>
      <c r="P88" s="8"/>
    </row>
    <row r="89" spans="1:16" ht="37.5" customHeight="1" x14ac:dyDescent="0.2">
      <c r="A89" s="3">
        <v>33</v>
      </c>
      <c r="B89" s="4" t="s">
        <v>131</v>
      </c>
      <c r="C89" s="5">
        <v>536</v>
      </c>
      <c r="D89" s="46" t="s">
        <v>99</v>
      </c>
      <c r="E89" s="5" t="s">
        <v>132</v>
      </c>
      <c r="F89" s="5" t="s">
        <v>22</v>
      </c>
      <c r="G89" s="8">
        <v>371001</v>
      </c>
      <c r="H89" s="45" t="s">
        <v>31</v>
      </c>
      <c r="I89" s="12">
        <v>50000</v>
      </c>
      <c r="J89" s="12">
        <v>0</v>
      </c>
      <c r="K89" s="12">
        <v>40000</v>
      </c>
      <c r="L89" s="12">
        <v>0</v>
      </c>
      <c r="M89" s="11">
        <v>90000</v>
      </c>
      <c r="N89" s="12"/>
      <c r="O89" s="12"/>
      <c r="P89" s="8"/>
    </row>
    <row r="90" spans="1:16" ht="37.5" customHeight="1" x14ac:dyDescent="0.2">
      <c r="A90" s="3">
        <v>33</v>
      </c>
      <c r="B90" s="4" t="s">
        <v>131</v>
      </c>
      <c r="C90" s="5">
        <v>536</v>
      </c>
      <c r="D90" s="46" t="s">
        <v>99</v>
      </c>
      <c r="E90" s="5" t="s">
        <v>132</v>
      </c>
      <c r="F90" s="5" t="s">
        <v>22</v>
      </c>
      <c r="G90" s="8">
        <v>383001</v>
      </c>
      <c r="H90" s="45" t="s">
        <v>106</v>
      </c>
      <c r="I90" s="12">
        <v>0</v>
      </c>
      <c r="J90" s="12">
        <v>200000</v>
      </c>
      <c r="K90" s="12">
        <v>0</v>
      </c>
      <c r="L90" s="12">
        <v>0</v>
      </c>
      <c r="M90" s="11">
        <v>200000</v>
      </c>
      <c r="N90" s="12"/>
      <c r="O90" s="12"/>
      <c r="P90" s="8"/>
    </row>
    <row r="91" spans="1:16" ht="37.5" customHeight="1" x14ac:dyDescent="0.2">
      <c r="A91" s="3">
        <v>801</v>
      </c>
      <c r="B91" s="4" t="s">
        <v>133</v>
      </c>
      <c r="C91" s="5">
        <v>536</v>
      </c>
      <c r="D91" s="46" t="s">
        <v>99</v>
      </c>
      <c r="E91" s="5" t="s">
        <v>134</v>
      </c>
      <c r="F91" s="5" t="s">
        <v>22</v>
      </c>
      <c r="G91" s="8">
        <v>352001</v>
      </c>
      <c r="H91" s="45" t="s">
        <v>167</v>
      </c>
      <c r="I91" s="12">
        <v>50000</v>
      </c>
      <c r="J91" s="12">
        <v>0</v>
      </c>
      <c r="K91" s="12">
        <v>0</v>
      </c>
      <c r="L91" s="12">
        <v>0</v>
      </c>
      <c r="M91" s="11">
        <v>50000</v>
      </c>
      <c r="N91" s="12"/>
      <c r="O91" s="13" t="s">
        <v>168</v>
      </c>
      <c r="P91" s="8"/>
    </row>
    <row r="92" spans="1:16" ht="37.5" customHeight="1" x14ac:dyDescent="0.2">
      <c r="A92" s="3">
        <v>801</v>
      </c>
      <c r="B92" s="4" t="s">
        <v>169</v>
      </c>
      <c r="C92" s="5">
        <v>536</v>
      </c>
      <c r="D92" s="46" t="s">
        <v>99</v>
      </c>
      <c r="E92" s="5" t="s">
        <v>134</v>
      </c>
      <c r="F92" s="5" t="s">
        <v>15</v>
      </c>
      <c r="G92" s="8">
        <v>261001</v>
      </c>
      <c r="H92" s="45" t="s">
        <v>46</v>
      </c>
      <c r="I92" s="12">
        <v>20000</v>
      </c>
      <c r="J92" s="12">
        <v>0</v>
      </c>
      <c r="K92" s="12">
        <v>0</v>
      </c>
      <c r="L92" s="12">
        <v>0</v>
      </c>
      <c r="M92" s="11">
        <v>20000</v>
      </c>
      <c r="N92" s="12"/>
      <c r="O92" s="13" t="s">
        <v>135</v>
      </c>
      <c r="P92" s="8"/>
    </row>
    <row r="93" spans="1:16" ht="37.5" customHeight="1" x14ac:dyDescent="0.2">
      <c r="A93" s="3">
        <v>801</v>
      </c>
      <c r="B93" s="4" t="s">
        <v>169</v>
      </c>
      <c r="C93" s="5">
        <v>536</v>
      </c>
      <c r="D93" s="46" t="s">
        <v>99</v>
      </c>
      <c r="E93" s="5" t="s">
        <v>134</v>
      </c>
      <c r="F93" s="5" t="s">
        <v>22</v>
      </c>
      <c r="G93" s="8">
        <v>382001</v>
      </c>
      <c r="H93" s="45" t="s">
        <v>170</v>
      </c>
      <c r="I93" s="12">
        <v>80000</v>
      </c>
      <c r="J93" s="12">
        <v>0</v>
      </c>
      <c r="K93" s="12">
        <v>0</v>
      </c>
      <c r="L93" s="12">
        <v>0</v>
      </c>
      <c r="M93" s="11">
        <v>80000</v>
      </c>
      <c r="N93" s="12"/>
      <c r="O93" s="13" t="s">
        <v>168</v>
      </c>
      <c r="P93" s="8"/>
    </row>
    <row r="94" spans="1:16" ht="37.5" customHeight="1" x14ac:dyDescent="0.2">
      <c r="A94" s="3">
        <v>801</v>
      </c>
      <c r="B94" s="4" t="s">
        <v>90</v>
      </c>
      <c r="C94" s="5">
        <v>536</v>
      </c>
      <c r="D94" s="46" t="s">
        <v>99</v>
      </c>
      <c r="E94" s="5" t="s">
        <v>171</v>
      </c>
      <c r="F94" s="5" t="s">
        <v>15</v>
      </c>
      <c r="G94" s="8">
        <v>211001</v>
      </c>
      <c r="H94" s="45" t="s">
        <v>16</v>
      </c>
      <c r="I94" s="12"/>
      <c r="J94" s="12">
        <v>15000</v>
      </c>
      <c r="K94" s="12"/>
      <c r="L94" s="12"/>
      <c r="M94" s="11">
        <v>15000</v>
      </c>
      <c r="N94" s="12"/>
      <c r="O94" s="13" t="s">
        <v>172</v>
      </c>
      <c r="P94" s="8" t="s">
        <v>173</v>
      </c>
    </row>
    <row r="95" spans="1:16" ht="37.5" customHeight="1" x14ac:dyDescent="0.2">
      <c r="A95" s="3">
        <v>801</v>
      </c>
      <c r="B95" s="4" t="s">
        <v>90</v>
      </c>
      <c r="C95" s="5">
        <v>536</v>
      </c>
      <c r="D95" s="46" t="s">
        <v>99</v>
      </c>
      <c r="E95" s="5" t="s">
        <v>171</v>
      </c>
      <c r="F95" s="5" t="s">
        <v>15</v>
      </c>
      <c r="G95" s="8">
        <v>214001</v>
      </c>
      <c r="H95" s="45" t="s">
        <v>92</v>
      </c>
      <c r="I95" s="12">
        <v>40000</v>
      </c>
      <c r="J95" s="12">
        <v>40000</v>
      </c>
      <c r="K95" s="12">
        <v>79000</v>
      </c>
      <c r="L95" s="12"/>
      <c r="M95" s="11">
        <v>159000</v>
      </c>
      <c r="N95" s="12"/>
      <c r="O95" s="13" t="s">
        <v>174</v>
      </c>
      <c r="P95" s="8" t="s">
        <v>173</v>
      </c>
    </row>
    <row r="96" spans="1:16" ht="37.5" customHeight="1" x14ac:dyDescent="0.2">
      <c r="A96" s="52">
        <v>801</v>
      </c>
      <c r="B96" s="53" t="s">
        <v>90</v>
      </c>
      <c r="C96" s="54">
        <v>536</v>
      </c>
      <c r="D96" s="55" t="s">
        <v>99</v>
      </c>
      <c r="E96" s="55" t="s">
        <v>171</v>
      </c>
      <c r="F96" s="55" t="s">
        <v>15</v>
      </c>
      <c r="G96" s="54">
        <v>216001</v>
      </c>
      <c r="H96" s="54" t="s">
        <v>18</v>
      </c>
      <c r="I96" s="56"/>
      <c r="J96" s="56">
        <v>15000</v>
      </c>
      <c r="K96" s="56"/>
      <c r="L96" s="56"/>
      <c r="M96" s="56">
        <v>15000</v>
      </c>
      <c r="N96" s="56"/>
      <c r="O96" s="57" t="s">
        <v>175</v>
      </c>
      <c r="P96" s="55"/>
    </row>
    <row r="97" spans="1:16" ht="37.5" customHeight="1" x14ac:dyDescent="0.2">
      <c r="A97" s="52">
        <v>801</v>
      </c>
      <c r="B97" s="53" t="s">
        <v>90</v>
      </c>
      <c r="C97" s="54">
        <v>536</v>
      </c>
      <c r="D97" s="55" t="s">
        <v>99</v>
      </c>
      <c r="E97" s="55" t="s">
        <v>171</v>
      </c>
      <c r="F97" s="55" t="s">
        <v>15</v>
      </c>
      <c r="G97" s="54">
        <v>261001</v>
      </c>
      <c r="H97" s="54" t="s">
        <v>46</v>
      </c>
      <c r="I97" s="56">
        <v>4000</v>
      </c>
      <c r="J97" s="56">
        <v>9000</v>
      </c>
      <c r="K97" s="56">
        <v>7000</v>
      </c>
      <c r="L97" s="56">
        <v>9000</v>
      </c>
      <c r="M97" s="56">
        <v>29000</v>
      </c>
      <c r="N97" s="56"/>
      <c r="O97" s="57" t="s">
        <v>176</v>
      </c>
      <c r="P97" s="55"/>
    </row>
    <row r="98" spans="1:16" ht="37.5" customHeight="1" x14ac:dyDescent="0.2">
      <c r="A98" s="52">
        <v>801</v>
      </c>
      <c r="B98" s="53" t="s">
        <v>90</v>
      </c>
      <c r="C98" s="54">
        <v>536</v>
      </c>
      <c r="D98" s="55" t="s">
        <v>99</v>
      </c>
      <c r="E98" s="55" t="s">
        <v>171</v>
      </c>
      <c r="F98" s="55" t="s">
        <v>15</v>
      </c>
      <c r="G98" s="54">
        <v>291001</v>
      </c>
      <c r="H98" s="54" t="s">
        <v>112</v>
      </c>
      <c r="I98" s="56">
        <v>30000</v>
      </c>
      <c r="J98" s="56">
        <v>30000</v>
      </c>
      <c r="K98" s="56">
        <v>30000</v>
      </c>
      <c r="L98" s="56"/>
      <c r="M98" s="56">
        <v>90000</v>
      </c>
      <c r="N98" s="56"/>
      <c r="O98" s="57" t="s">
        <v>176</v>
      </c>
      <c r="P98" s="55"/>
    </row>
    <row r="99" spans="1:16" ht="37.5" customHeight="1" x14ac:dyDescent="0.2">
      <c r="A99" s="52">
        <v>801</v>
      </c>
      <c r="B99" s="53" t="s">
        <v>90</v>
      </c>
      <c r="C99" s="54">
        <v>536</v>
      </c>
      <c r="D99" s="55" t="s">
        <v>99</v>
      </c>
      <c r="E99" s="55" t="s">
        <v>171</v>
      </c>
      <c r="F99" s="55" t="s">
        <v>15</v>
      </c>
      <c r="G99" s="54">
        <v>294001</v>
      </c>
      <c r="H99" s="54" t="s">
        <v>113</v>
      </c>
      <c r="I99" s="56">
        <v>30000</v>
      </c>
      <c r="J99" s="56">
        <v>79000</v>
      </c>
      <c r="K99" s="56">
        <v>60000</v>
      </c>
      <c r="L99" s="56">
        <v>50000</v>
      </c>
      <c r="M99" s="56">
        <v>219000</v>
      </c>
      <c r="N99" s="56"/>
      <c r="O99" s="57" t="s">
        <v>176</v>
      </c>
      <c r="P99" s="55"/>
    </row>
    <row r="100" spans="1:16" ht="37.5" customHeight="1" x14ac:dyDescent="0.2">
      <c r="A100" s="52">
        <v>801</v>
      </c>
      <c r="B100" s="53" t="s">
        <v>90</v>
      </c>
      <c r="C100" s="54">
        <v>536</v>
      </c>
      <c r="D100" s="55" t="s">
        <v>99</v>
      </c>
      <c r="E100" s="55" t="s">
        <v>171</v>
      </c>
      <c r="F100" s="55" t="s">
        <v>15</v>
      </c>
      <c r="G100" s="54">
        <v>294002</v>
      </c>
      <c r="H100" s="54" t="s">
        <v>122</v>
      </c>
      <c r="I100" s="56">
        <v>30000</v>
      </c>
      <c r="J100" s="56">
        <v>30000</v>
      </c>
      <c r="K100" s="56">
        <v>40000</v>
      </c>
      <c r="L100" s="56"/>
      <c r="M100" s="56">
        <v>100000</v>
      </c>
      <c r="N100" s="56"/>
      <c r="O100" s="57" t="s">
        <v>176</v>
      </c>
      <c r="P100" s="55"/>
    </row>
    <row r="101" spans="1:16" ht="37.5" customHeight="1" x14ac:dyDescent="0.2">
      <c r="A101" s="3">
        <v>801</v>
      </c>
      <c r="B101" s="4" t="s">
        <v>90</v>
      </c>
      <c r="C101" s="5">
        <v>536</v>
      </c>
      <c r="D101" s="46" t="s">
        <v>99</v>
      </c>
      <c r="E101" s="5" t="s">
        <v>136</v>
      </c>
      <c r="F101" s="5" t="s">
        <v>22</v>
      </c>
      <c r="G101" s="8">
        <v>329001</v>
      </c>
      <c r="H101" s="45" t="s">
        <v>166</v>
      </c>
      <c r="I101" s="12">
        <v>0</v>
      </c>
      <c r="J101" s="12">
        <v>0</v>
      </c>
      <c r="K101" s="12">
        <v>30000</v>
      </c>
      <c r="L101" s="12">
        <v>0</v>
      </c>
      <c r="M101" s="11">
        <v>30000</v>
      </c>
      <c r="N101" s="12"/>
      <c r="O101" s="12" t="s">
        <v>137</v>
      </c>
      <c r="P101" s="8"/>
    </row>
    <row r="102" spans="1:16" ht="37.5" customHeight="1" x14ac:dyDescent="0.2">
      <c r="A102" s="3">
        <v>801</v>
      </c>
      <c r="B102" s="4" t="s">
        <v>90</v>
      </c>
      <c r="C102" s="5">
        <v>536</v>
      </c>
      <c r="D102" s="46" t="s">
        <v>99</v>
      </c>
      <c r="E102" s="5" t="s">
        <v>136</v>
      </c>
      <c r="F102" s="5" t="s">
        <v>22</v>
      </c>
      <c r="G102" s="8">
        <v>336001</v>
      </c>
      <c r="H102" s="45" t="s">
        <v>177</v>
      </c>
      <c r="I102" s="12">
        <v>3000</v>
      </c>
      <c r="J102" s="12">
        <v>0</v>
      </c>
      <c r="K102" s="12">
        <v>0</v>
      </c>
      <c r="L102" s="12">
        <v>4500</v>
      </c>
      <c r="M102" s="11">
        <v>7500</v>
      </c>
      <c r="N102" s="12"/>
      <c r="O102" s="12" t="s">
        <v>137</v>
      </c>
      <c r="P102" s="8"/>
    </row>
    <row r="103" spans="1:16" ht="37.5" customHeight="1" x14ac:dyDescent="0.2">
      <c r="A103" s="3">
        <v>801</v>
      </c>
      <c r="B103" s="4" t="s">
        <v>90</v>
      </c>
      <c r="C103" s="5">
        <v>536</v>
      </c>
      <c r="D103" s="46" t="s">
        <v>99</v>
      </c>
      <c r="E103" s="5" t="s">
        <v>136</v>
      </c>
      <c r="F103" s="5" t="s">
        <v>22</v>
      </c>
      <c r="G103" s="8">
        <v>336002</v>
      </c>
      <c r="H103" s="45" t="s">
        <v>160</v>
      </c>
      <c r="I103" s="12">
        <v>6000</v>
      </c>
      <c r="J103" s="12">
        <v>2000</v>
      </c>
      <c r="K103" s="12">
        <v>7000</v>
      </c>
      <c r="L103" s="12">
        <v>0</v>
      </c>
      <c r="M103" s="11">
        <v>15000</v>
      </c>
      <c r="N103" s="12"/>
      <c r="O103" s="12" t="s">
        <v>137</v>
      </c>
      <c r="P103" s="8"/>
    </row>
    <row r="104" spans="1:16" ht="37.5" customHeight="1" x14ac:dyDescent="0.2">
      <c r="A104" s="3">
        <v>801</v>
      </c>
      <c r="B104" s="4" t="s">
        <v>90</v>
      </c>
      <c r="C104" s="5">
        <v>536</v>
      </c>
      <c r="D104" s="46" t="s">
        <v>99</v>
      </c>
      <c r="E104" s="5" t="s">
        <v>136</v>
      </c>
      <c r="F104" s="5" t="s">
        <v>22</v>
      </c>
      <c r="G104" s="8">
        <v>351001</v>
      </c>
      <c r="H104" s="45" t="s">
        <v>153</v>
      </c>
      <c r="I104" s="12">
        <v>5000</v>
      </c>
      <c r="J104" s="12">
        <v>5000</v>
      </c>
      <c r="K104" s="12">
        <v>5000</v>
      </c>
      <c r="L104" s="12">
        <v>0</v>
      </c>
      <c r="M104" s="11">
        <v>15000</v>
      </c>
      <c r="N104" s="12"/>
      <c r="O104" s="12" t="s">
        <v>137</v>
      </c>
      <c r="P104" s="8"/>
    </row>
    <row r="105" spans="1:16" ht="37.5" customHeight="1" x14ac:dyDescent="0.2">
      <c r="A105" s="3">
        <v>801</v>
      </c>
      <c r="B105" s="4" t="s">
        <v>90</v>
      </c>
      <c r="C105" s="5">
        <v>536</v>
      </c>
      <c r="D105" s="46" t="s">
        <v>99</v>
      </c>
      <c r="E105" s="5" t="s">
        <v>136</v>
      </c>
      <c r="F105" s="5" t="s">
        <v>22</v>
      </c>
      <c r="G105" s="8">
        <v>352001</v>
      </c>
      <c r="H105" s="45" t="s">
        <v>167</v>
      </c>
      <c r="I105" s="12">
        <v>3000</v>
      </c>
      <c r="J105" s="12">
        <v>2000</v>
      </c>
      <c r="K105" s="12">
        <v>10000</v>
      </c>
      <c r="L105" s="12">
        <v>0</v>
      </c>
      <c r="M105" s="11">
        <v>15000</v>
      </c>
      <c r="N105" s="12"/>
      <c r="O105" s="12" t="s">
        <v>137</v>
      </c>
      <c r="P105" s="8"/>
    </row>
    <row r="106" spans="1:16" ht="37.5" customHeight="1" x14ac:dyDescent="0.2">
      <c r="A106" s="52">
        <v>801</v>
      </c>
      <c r="B106" s="53" t="s">
        <v>90</v>
      </c>
      <c r="C106" s="54">
        <v>536</v>
      </c>
      <c r="D106" s="55" t="s">
        <v>99</v>
      </c>
      <c r="E106" s="55" t="s">
        <v>136</v>
      </c>
      <c r="F106" s="55" t="s">
        <v>22</v>
      </c>
      <c r="G106" s="54">
        <v>371001</v>
      </c>
      <c r="H106" s="54" t="s">
        <v>31</v>
      </c>
      <c r="I106" s="56">
        <v>20000</v>
      </c>
      <c r="J106" s="56">
        <v>30000</v>
      </c>
      <c r="K106" s="56">
        <v>30000</v>
      </c>
      <c r="L106" s="56">
        <v>20000</v>
      </c>
      <c r="M106" s="56">
        <v>100000</v>
      </c>
      <c r="N106" s="56"/>
      <c r="O106" s="56" t="s">
        <v>137</v>
      </c>
      <c r="P106" s="8"/>
    </row>
    <row r="107" spans="1:16" ht="37.5" customHeight="1" x14ac:dyDescent="0.2">
      <c r="A107" s="52">
        <v>801</v>
      </c>
      <c r="B107" s="53" t="s">
        <v>90</v>
      </c>
      <c r="C107" s="54">
        <v>536</v>
      </c>
      <c r="D107" s="55" t="s">
        <v>99</v>
      </c>
      <c r="E107" s="55" t="s">
        <v>136</v>
      </c>
      <c r="F107" s="55" t="s">
        <v>22</v>
      </c>
      <c r="G107" s="54">
        <v>383001</v>
      </c>
      <c r="H107" s="54" t="s">
        <v>106</v>
      </c>
      <c r="I107" s="56"/>
      <c r="J107" s="56">
        <v>45000</v>
      </c>
      <c r="K107" s="56">
        <v>160000</v>
      </c>
      <c r="L107" s="56"/>
      <c r="M107" s="56">
        <v>205000</v>
      </c>
      <c r="N107" s="56"/>
      <c r="O107" s="56" t="s">
        <v>137</v>
      </c>
      <c r="P107" s="8"/>
    </row>
    <row r="108" spans="1:16" ht="37.5" customHeight="1" x14ac:dyDescent="0.2">
      <c r="A108" s="3">
        <v>801</v>
      </c>
      <c r="B108" s="4" t="s">
        <v>90</v>
      </c>
      <c r="C108" s="5">
        <v>536</v>
      </c>
      <c r="D108" s="46" t="s">
        <v>99</v>
      </c>
      <c r="E108" s="5" t="s">
        <v>138</v>
      </c>
      <c r="F108" s="5" t="s">
        <v>22</v>
      </c>
      <c r="G108" s="8">
        <v>312001</v>
      </c>
      <c r="H108" s="45" t="s">
        <v>162</v>
      </c>
      <c r="I108" s="12">
        <v>28000</v>
      </c>
      <c r="J108" s="12">
        <v>42500</v>
      </c>
      <c r="K108" s="12">
        <v>41500</v>
      </c>
      <c r="L108" s="12">
        <v>18000</v>
      </c>
      <c r="M108" s="11">
        <v>130000</v>
      </c>
      <c r="N108" s="12"/>
      <c r="O108" s="13">
        <v>45961</v>
      </c>
      <c r="P108" s="8"/>
    </row>
    <row r="109" spans="1:16" ht="37.5" customHeight="1" x14ac:dyDescent="0.2">
      <c r="A109" s="3">
        <v>801</v>
      </c>
      <c r="B109" s="4" t="s">
        <v>90</v>
      </c>
      <c r="C109" s="5">
        <v>536</v>
      </c>
      <c r="D109" s="46" t="s">
        <v>99</v>
      </c>
      <c r="E109" s="5" t="s">
        <v>138</v>
      </c>
      <c r="F109" s="5" t="s">
        <v>22</v>
      </c>
      <c r="G109" s="8">
        <v>334002</v>
      </c>
      <c r="H109" s="45" t="s">
        <v>159</v>
      </c>
      <c r="I109" s="12">
        <v>0</v>
      </c>
      <c r="J109" s="12">
        <v>170000</v>
      </c>
      <c r="K109" s="12">
        <v>0</v>
      </c>
      <c r="L109" s="12">
        <v>0</v>
      </c>
      <c r="M109" s="11">
        <v>170000</v>
      </c>
      <c r="N109" s="12"/>
      <c r="O109" s="13">
        <v>45808</v>
      </c>
      <c r="P109" s="8"/>
    </row>
    <row r="110" spans="1:16" ht="37.5" customHeight="1" x14ac:dyDescent="0.2">
      <c r="A110" s="3">
        <v>801</v>
      </c>
      <c r="B110" s="4" t="s">
        <v>90</v>
      </c>
      <c r="C110" s="5">
        <v>536</v>
      </c>
      <c r="D110" s="46" t="s">
        <v>99</v>
      </c>
      <c r="E110" s="5" t="s">
        <v>138</v>
      </c>
      <c r="F110" s="5" t="s">
        <v>22</v>
      </c>
      <c r="G110" s="8">
        <v>336002</v>
      </c>
      <c r="H110" s="45" t="s">
        <v>160</v>
      </c>
      <c r="I110" s="12">
        <v>0</v>
      </c>
      <c r="J110" s="12">
        <v>5000</v>
      </c>
      <c r="K110" s="12">
        <v>5000</v>
      </c>
      <c r="L110" s="12">
        <v>0</v>
      </c>
      <c r="M110" s="11">
        <v>10000</v>
      </c>
      <c r="N110" s="12"/>
      <c r="O110" s="13">
        <v>45900</v>
      </c>
      <c r="P110" s="8"/>
    </row>
    <row r="111" spans="1:16" ht="37.5" customHeight="1" x14ac:dyDescent="0.2">
      <c r="A111" s="52">
        <v>801</v>
      </c>
      <c r="B111" s="53" t="s">
        <v>90</v>
      </c>
      <c r="C111" s="54">
        <v>536</v>
      </c>
      <c r="D111" s="55" t="s">
        <v>99</v>
      </c>
      <c r="E111" s="55" t="s">
        <v>138</v>
      </c>
      <c r="F111" s="55" t="s">
        <v>22</v>
      </c>
      <c r="G111" s="54">
        <v>351001</v>
      </c>
      <c r="H111" s="54" t="s">
        <v>153</v>
      </c>
      <c r="I111" s="56">
        <v>120000</v>
      </c>
      <c r="J111" s="56">
        <v>100000</v>
      </c>
      <c r="K111" s="56">
        <v>80000</v>
      </c>
      <c r="L111" s="56">
        <v>0</v>
      </c>
      <c r="M111" s="56">
        <v>300000</v>
      </c>
      <c r="N111" s="56"/>
      <c r="O111" s="57">
        <v>45930</v>
      </c>
      <c r="P111" s="8"/>
    </row>
    <row r="112" spans="1:16" ht="37.5" customHeight="1" x14ac:dyDescent="0.2">
      <c r="A112" s="52">
        <v>801</v>
      </c>
      <c r="B112" s="53" t="s">
        <v>90</v>
      </c>
      <c r="C112" s="54">
        <v>536</v>
      </c>
      <c r="D112" s="55" t="s">
        <v>99</v>
      </c>
      <c r="E112" s="55" t="s">
        <v>138</v>
      </c>
      <c r="F112" s="55" t="s">
        <v>22</v>
      </c>
      <c r="G112" s="54">
        <v>351002</v>
      </c>
      <c r="H112" s="54" t="s">
        <v>154</v>
      </c>
      <c r="I112" s="56">
        <v>105000</v>
      </c>
      <c r="J112" s="56">
        <v>0</v>
      </c>
      <c r="K112" s="56">
        <v>0</v>
      </c>
      <c r="L112" s="56">
        <v>0</v>
      </c>
      <c r="M112" s="56">
        <v>105000</v>
      </c>
      <c r="N112" s="56"/>
      <c r="O112" s="57">
        <v>45747</v>
      </c>
      <c r="P112" s="8"/>
    </row>
    <row r="113" spans="1:16" ht="37.5" customHeight="1" x14ac:dyDescent="0.2">
      <c r="A113" s="52">
        <v>801</v>
      </c>
      <c r="B113" s="53" t="s">
        <v>90</v>
      </c>
      <c r="C113" s="54">
        <v>536</v>
      </c>
      <c r="D113" s="55" t="s">
        <v>99</v>
      </c>
      <c r="E113" s="55" t="s">
        <v>138</v>
      </c>
      <c r="F113" s="55" t="s">
        <v>22</v>
      </c>
      <c r="G113" s="54">
        <v>352001</v>
      </c>
      <c r="H113" s="54" t="s">
        <v>167</v>
      </c>
      <c r="I113" s="56">
        <v>20000</v>
      </c>
      <c r="J113" s="56">
        <v>20000</v>
      </c>
      <c r="K113" s="56">
        <v>40000</v>
      </c>
      <c r="L113" s="56">
        <v>0</v>
      </c>
      <c r="M113" s="56">
        <v>80000</v>
      </c>
      <c r="N113" s="56"/>
      <c r="O113" s="57">
        <v>45930</v>
      </c>
      <c r="P113" s="8"/>
    </row>
    <row r="114" spans="1:16" ht="37.5" customHeight="1" x14ac:dyDescent="0.2">
      <c r="A114" s="52">
        <v>801</v>
      </c>
      <c r="B114" s="53" t="s">
        <v>90</v>
      </c>
      <c r="C114" s="54">
        <v>536</v>
      </c>
      <c r="D114" s="55" t="s">
        <v>99</v>
      </c>
      <c r="E114" s="55" t="s">
        <v>138</v>
      </c>
      <c r="F114" s="55" t="s">
        <v>22</v>
      </c>
      <c r="G114" s="54">
        <v>356001</v>
      </c>
      <c r="H114" s="54" t="s">
        <v>161</v>
      </c>
      <c r="I114" s="56">
        <v>15000</v>
      </c>
      <c r="J114" s="56">
        <v>0</v>
      </c>
      <c r="K114" s="56">
        <v>0</v>
      </c>
      <c r="L114" s="56">
        <v>0</v>
      </c>
      <c r="M114" s="56">
        <v>15000</v>
      </c>
      <c r="N114" s="56"/>
      <c r="O114" s="57">
        <v>45716</v>
      </c>
      <c r="P114" s="8"/>
    </row>
    <row r="115" spans="1:16" ht="37.5" customHeight="1" x14ac:dyDescent="0.2">
      <c r="A115" s="52">
        <v>801</v>
      </c>
      <c r="B115" s="53" t="s">
        <v>90</v>
      </c>
      <c r="C115" s="54">
        <v>536</v>
      </c>
      <c r="D115" s="55" t="s">
        <v>99</v>
      </c>
      <c r="E115" s="55" t="s">
        <v>138</v>
      </c>
      <c r="F115" s="55" t="s">
        <v>22</v>
      </c>
      <c r="G115" s="54">
        <v>371001</v>
      </c>
      <c r="H115" s="54" t="s">
        <v>31</v>
      </c>
      <c r="I115" s="56">
        <v>20000</v>
      </c>
      <c r="J115" s="56">
        <v>15000</v>
      </c>
      <c r="K115" s="56">
        <v>15000</v>
      </c>
      <c r="L115" s="56">
        <v>10000</v>
      </c>
      <c r="M115" s="56">
        <v>60000</v>
      </c>
      <c r="N115" s="56"/>
      <c r="O115" s="57">
        <v>45991</v>
      </c>
      <c r="P115" s="8"/>
    </row>
    <row r="116" spans="1:16" ht="37.5" customHeight="1" x14ac:dyDescent="0.2">
      <c r="A116" s="52">
        <v>801</v>
      </c>
      <c r="B116" s="53" t="s">
        <v>90</v>
      </c>
      <c r="C116" s="54">
        <v>536</v>
      </c>
      <c r="D116" s="55" t="s">
        <v>99</v>
      </c>
      <c r="E116" s="55" t="s">
        <v>138</v>
      </c>
      <c r="F116" s="55" t="s">
        <v>22</v>
      </c>
      <c r="G116" s="54">
        <v>382002</v>
      </c>
      <c r="H116" s="54" t="s">
        <v>57</v>
      </c>
      <c r="I116" s="56">
        <v>4000</v>
      </c>
      <c r="J116" s="56">
        <v>3000</v>
      </c>
      <c r="K116" s="56">
        <v>0</v>
      </c>
      <c r="L116" s="56">
        <v>0</v>
      </c>
      <c r="M116" s="56">
        <v>7000</v>
      </c>
      <c r="N116" s="56"/>
      <c r="O116" s="57">
        <v>45838</v>
      </c>
      <c r="P116" s="8"/>
    </row>
    <row r="117" spans="1:16" ht="37.5" customHeight="1" x14ac:dyDescent="0.2">
      <c r="A117" s="3">
        <v>801</v>
      </c>
      <c r="B117" s="4" t="s">
        <v>90</v>
      </c>
      <c r="C117" s="5">
        <v>536</v>
      </c>
      <c r="D117" s="46" t="s">
        <v>99</v>
      </c>
      <c r="E117" s="5" t="s">
        <v>114</v>
      </c>
      <c r="F117" s="5" t="s">
        <v>22</v>
      </c>
      <c r="G117" s="8">
        <v>371001</v>
      </c>
      <c r="H117" s="45" t="s">
        <v>31</v>
      </c>
      <c r="I117" s="12">
        <v>0</v>
      </c>
      <c r="J117" s="12">
        <v>0</v>
      </c>
      <c r="K117" s="12">
        <v>50000</v>
      </c>
      <c r="L117" s="12">
        <v>0</v>
      </c>
      <c r="M117" s="11">
        <v>50000</v>
      </c>
      <c r="N117" s="12"/>
      <c r="O117" s="12"/>
      <c r="P117" s="8"/>
    </row>
    <row r="118" spans="1:16" ht="37.5" customHeight="1" x14ac:dyDescent="0.2">
      <c r="A118" s="3">
        <v>801</v>
      </c>
      <c r="B118" s="4" t="s">
        <v>90</v>
      </c>
      <c r="C118" s="5">
        <v>536</v>
      </c>
      <c r="D118" s="46" t="s">
        <v>99</v>
      </c>
      <c r="E118" s="5" t="s">
        <v>114</v>
      </c>
      <c r="F118" s="5" t="s">
        <v>22</v>
      </c>
      <c r="G118" s="8">
        <v>383001</v>
      </c>
      <c r="H118" s="45" t="s">
        <v>106</v>
      </c>
      <c r="I118" s="12">
        <v>50000</v>
      </c>
      <c r="J118" s="12">
        <v>0</v>
      </c>
      <c r="K118" s="12">
        <v>50000</v>
      </c>
      <c r="L118" s="12">
        <v>0</v>
      </c>
      <c r="M118" s="11">
        <v>100000</v>
      </c>
      <c r="N118" s="12"/>
      <c r="O118" s="12"/>
      <c r="P118" s="8"/>
    </row>
    <row r="119" spans="1:16" ht="37.5" customHeight="1" x14ac:dyDescent="0.2">
      <c r="A119" s="3">
        <v>801</v>
      </c>
      <c r="B119" s="4" t="s">
        <v>90</v>
      </c>
      <c r="C119" s="5">
        <v>536</v>
      </c>
      <c r="D119" s="46" t="s">
        <v>99</v>
      </c>
      <c r="E119" s="5" t="s">
        <v>178</v>
      </c>
      <c r="F119" s="5" t="s">
        <v>22</v>
      </c>
      <c r="G119" s="8">
        <v>371001</v>
      </c>
      <c r="H119" s="45" t="s">
        <v>31</v>
      </c>
      <c r="I119" s="12">
        <v>10000</v>
      </c>
      <c r="J119" s="12">
        <v>10000</v>
      </c>
      <c r="K119" s="12"/>
      <c r="L119" s="12"/>
      <c r="M119" s="11">
        <f>Tabla1312[[#This Row],[TRIMESTRE  I]]+Tabla1312[[#This Row],[TRIMESTRE II]]+Tabla1312[[#This Row],[TRIMESTRE III]]+Tabla1312[[#This Row],[TRIMESTRE IV]]</f>
        <v>20000</v>
      </c>
      <c r="N119" s="12"/>
      <c r="O119" s="12"/>
      <c r="P119" s="8"/>
    </row>
    <row r="120" spans="1:16" ht="37.5" customHeight="1" x14ac:dyDescent="0.2">
      <c r="A120" s="52">
        <v>801</v>
      </c>
      <c r="B120" s="53" t="s">
        <v>90</v>
      </c>
      <c r="C120" s="54">
        <v>536</v>
      </c>
      <c r="D120" s="55" t="s">
        <v>99</v>
      </c>
      <c r="E120" s="5" t="s">
        <v>139</v>
      </c>
      <c r="F120" s="5" t="s">
        <v>22</v>
      </c>
      <c r="G120" s="8">
        <v>371001</v>
      </c>
      <c r="H120" s="45" t="s">
        <v>31</v>
      </c>
      <c r="I120" s="12"/>
      <c r="J120" s="12">
        <v>40000</v>
      </c>
      <c r="K120" s="12">
        <v>60000</v>
      </c>
      <c r="L120" s="12"/>
      <c r="M120" s="11">
        <f>Tabla1312[[#This Row],[TRIMESTRE  I]]+Tabla1312[[#This Row],[TRIMESTRE II]]+Tabla1312[[#This Row],[TRIMESTRE III]]+Tabla1312[[#This Row],[TRIMESTRE IV]]</f>
        <v>100000</v>
      </c>
      <c r="N120" s="12"/>
      <c r="O120" s="12"/>
      <c r="P120" s="8"/>
    </row>
    <row r="121" spans="1:16" ht="37.5" customHeight="1" thickBot="1" x14ac:dyDescent="0.25">
      <c r="A121" s="97"/>
      <c r="B121" s="98"/>
      <c r="C121" s="99"/>
      <c r="D121" s="100"/>
      <c r="E121" s="99"/>
      <c r="F121" s="99"/>
      <c r="G121" s="101"/>
      <c r="H121" s="102"/>
      <c r="I121" s="103"/>
      <c r="J121" s="103"/>
      <c r="K121" s="104" t="s">
        <v>179</v>
      </c>
      <c r="L121" s="103"/>
      <c r="M121" s="105">
        <f>SUM(M5:M120)</f>
        <v>12565050</v>
      </c>
      <c r="N121" s="103"/>
      <c r="O121" s="103"/>
      <c r="P121" s="101"/>
    </row>
    <row r="122" spans="1:16" ht="37.5" customHeight="1" thickTop="1" x14ac:dyDescent="0.2"/>
  </sheetData>
  <protectedRanges>
    <protectedRange algorithmName="SHA-512" hashValue="CVDb5J/0TlFD03lqit9XaA7LbCMGvWLCsduA3v8dImZEGhWfzgZ6Dg6bkjbAbJm1bYAcMLcpovU/dJmuMze5jw==" saltValue="QZ4X9aU2cO4/tAPW6011Dw==" spinCount="100000" sqref="N5:O18" name="EDITABLE 4"/>
    <protectedRange algorithmName="SHA-512" hashValue="ytsoXFfC1+WmXVaa1/e6XfcZ7vPjNmSnuZe33NqN4NcqbRxNJdzSGuklMRpskJNPYNNz1yZQe585JE4aSLisOg==" saltValue="/jSLFmNX0mB2vn2qhSJbtw==" spinCount="100000" sqref="I5:L13" name="EDITABLE 3"/>
    <protectedRange algorithmName="SHA-512" hashValue="pJNw8ysPJcfMEDlzTgza0siiHuU4FkUpIzbuTX325DFaYD5nL5ng0z0JoIGpE+CYch2hq/LccMqSM51MpHojPQ==" saltValue="xv9nj4u85CXs/Kmy5tmlKw==" spinCount="100000" sqref="E5:G13" name="EDITABLE 2"/>
    <protectedRange algorithmName="SHA-512" hashValue="Lst7hsT/mUUQvFsOUalIdMZhSjExDj/C7u4r1gIjHREwBj16N7lqODQ0CY6n+RXalo774Zm4aYZKVBS0n4XIeg==" saltValue="KfnRR/cqfK967zBK52Zr6A==" spinCount="100000" sqref="A5:C13" name="EDITABLE 1"/>
    <protectedRange algorithmName="SHA-512" hashValue="CVDb5J/0TlFD03lqit9XaA7LbCMGvWLCsduA3v8dImZEGhWfzgZ6Dg6bkjbAbJm1bYAcMLcpovU/dJmuMze5jw==" saltValue="QZ4X9aU2cO4/tAPW6011Dw==" spinCount="100000" sqref="P6 P10:P12 P15" name="EDITABLE 4_1"/>
    <protectedRange algorithmName="SHA-512" hashValue="CVDb5J/0TlFD03lqit9XaA7LbCMGvWLCsduA3v8dImZEGhWfzgZ6Dg6bkjbAbJm1bYAcMLcpovU/dJmuMze5jw==" saltValue="QZ4X9aU2cO4/tAPW6011Dw==" spinCount="100000" sqref="P7 P9 P5 P14 P16:P17" name="EDITABLE 4_2"/>
    <protectedRange algorithmName="SHA-512" hashValue="CVDb5J/0TlFD03lqit9XaA7LbCMGvWLCsduA3v8dImZEGhWfzgZ6Dg6bkjbAbJm1bYAcMLcpovU/dJmuMze5jw==" saltValue="QZ4X9aU2cO4/tAPW6011Dw==" spinCount="100000" sqref="P8 P13 P18" name="EDITABLE 4_3"/>
    <protectedRange algorithmName="SHA-512" hashValue="ytsoXFfC1+WmXVaa1/e6XfcZ7vPjNmSnuZe33NqN4NcqbRxNJdzSGuklMRpskJNPYNNz1yZQe585JE4aSLisOg==" saltValue="/jSLFmNX0mB2vn2qhSJbtw==" spinCount="100000" sqref="I14:L16" name="EDITABLE 3_2"/>
    <protectedRange algorithmName="SHA-512" hashValue="pJNw8ysPJcfMEDlzTgza0siiHuU4FkUpIzbuTX325DFaYD5nL5ng0z0JoIGpE+CYch2hq/LccMqSM51MpHojPQ==" saltValue="xv9nj4u85CXs/Kmy5tmlKw==" spinCount="100000" sqref="F14:G16" name="EDITABLE 2_2"/>
    <protectedRange algorithmName="SHA-512" hashValue="Lst7hsT/mUUQvFsOUalIdMZhSjExDj/C7u4r1gIjHREwBj16N7lqODQ0CY6n+RXalo774Zm4aYZKVBS0n4XIeg==" saltValue="KfnRR/cqfK967zBK52Zr6A==" spinCount="100000" sqref="A14:C16" name="EDITABLE 1_2"/>
    <protectedRange algorithmName="SHA-512" hashValue="pJNw8ysPJcfMEDlzTgza0siiHuU4FkUpIzbuTX325DFaYD5nL5ng0z0JoIGpE+CYch2hq/LccMqSM51MpHojPQ==" saltValue="xv9nj4u85CXs/Kmy5tmlKw==" spinCount="100000" sqref="E14" name="EDITABLE 2_1_2"/>
    <protectedRange algorithmName="SHA-512" hashValue="pJNw8ysPJcfMEDlzTgza0siiHuU4FkUpIzbuTX325DFaYD5nL5ng0z0JoIGpE+CYch2hq/LccMqSM51MpHojPQ==" saltValue="xv9nj4u85CXs/Kmy5tmlKw==" spinCount="100000" sqref="E15:E16" name="EDITABLE 2_2_1"/>
    <protectedRange algorithmName="SHA-512" hashValue="ytsoXFfC1+WmXVaa1/e6XfcZ7vPjNmSnuZe33NqN4NcqbRxNJdzSGuklMRpskJNPYNNz1yZQe585JE4aSLisOg==" saltValue="/jSLFmNX0mB2vn2qhSJbtw==" spinCount="100000" sqref="I17:L17" name="EDITABLE 3_1_2"/>
    <protectedRange algorithmName="SHA-512" hashValue="pJNw8ysPJcfMEDlzTgza0siiHuU4FkUpIzbuTX325DFaYD5nL5ng0z0JoIGpE+CYch2hq/LccMqSM51MpHojPQ==" saltValue="xv9nj4u85CXs/Kmy5tmlKw==" spinCount="100000" sqref="F17:G17" name="EDITABLE 2_1_7"/>
    <protectedRange algorithmName="SHA-512" hashValue="Lst7hsT/mUUQvFsOUalIdMZhSjExDj/C7u4r1gIjHREwBj16N7lqODQ0CY6n+RXalo774Zm4aYZKVBS0n4XIeg==" saltValue="KfnRR/cqfK967zBK52Zr6A==" spinCount="100000" sqref="A17:C17" name="EDITABLE 1_1_3"/>
    <protectedRange algorithmName="SHA-512" hashValue="pJNw8ysPJcfMEDlzTgza0siiHuU4FkUpIzbuTX325DFaYD5nL5ng0z0JoIGpE+CYch2hq/LccMqSM51MpHojPQ==" saltValue="xv9nj4u85CXs/Kmy5tmlKw==" spinCount="100000" sqref="E17" name="EDITABLE 2_1_1_3"/>
    <protectedRange algorithmName="SHA-512" hashValue="ytsoXFfC1+WmXVaa1/e6XfcZ7vPjNmSnuZe33NqN4NcqbRxNJdzSGuklMRpskJNPYNNz1yZQe585JE4aSLisOg==" saltValue="/jSLFmNX0mB2vn2qhSJbtw==" spinCount="100000" sqref="I18:L21" name="EDITABLE 3_1_3"/>
    <protectedRange algorithmName="SHA-512" hashValue="pJNw8ysPJcfMEDlzTgza0siiHuU4FkUpIzbuTX325DFaYD5nL5ng0z0JoIGpE+CYch2hq/LccMqSM51MpHojPQ==" saltValue="xv9nj4u85CXs/Kmy5tmlKw==" spinCount="100000" sqref="F18:G21" name="EDITABLE 2_1_8"/>
    <protectedRange algorithmName="SHA-512" hashValue="Lst7hsT/mUUQvFsOUalIdMZhSjExDj/C7u4r1gIjHREwBj16N7lqODQ0CY6n+RXalo774Zm4aYZKVBS0n4XIeg==" saltValue="KfnRR/cqfK967zBK52Zr6A==" spinCount="100000" sqref="A18:C21" name="EDITABLE 1_1_4"/>
    <protectedRange algorithmName="SHA-512" hashValue="pJNw8ysPJcfMEDlzTgza0siiHuU4FkUpIzbuTX325DFaYD5nL5ng0z0JoIGpE+CYch2hq/LccMqSM51MpHojPQ==" saltValue="xv9nj4u85CXs/Kmy5tmlKw==" spinCount="100000" sqref="E18:E21" name="EDITABLE 2_1_1_4"/>
    <protectedRange algorithmName="SHA-512" hashValue="ytsoXFfC1+WmXVaa1/e6XfcZ7vPjNmSnuZe33NqN4NcqbRxNJdzSGuklMRpskJNPYNNz1yZQe585JE4aSLisOg==" saltValue="/jSLFmNX0mB2vn2qhSJbtw==" spinCount="100000" sqref="I22:L24" name="EDITABLE 3_6"/>
    <protectedRange algorithmName="SHA-512" hashValue="pJNw8ysPJcfMEDlzTgza0siiHuU4FkUpIzbuTX325DFaYD5nL5ng0z0JoIGpE+CYch2hq/LccMqSM51MpHojPQ==" saltValue="xv9nj4u85CXs/Kmy5tmlKw==" spinCount="100000" sqref="F22:G24" name="EDITABLE 2_6"/>
    <protectedRange algorithmName="SHA-512" hashValue="Lst7hsT/mUUQvFsOUalIdMZhSjExDj/C7u4r1gIjHREwBj16N7lqODQ0CY6n+RXalo774Zm4aYZKVBS0n4XIeg==" saltValue="KfnRR/cqfK967zBK52Zr6A==" spinCount="100000" sqref="A24 C22:C24" name="EDITABLE 1_6"/>
    <protectedRange algorithmName="SHA-512" hashValue="Lst7hsT/mUUQvFsOUalIdMZhSjExDj/C7u4r1gIjHREwBj16N7lqODQ0CY6n+RXalo774Zm4aYZKVBS0n4XIeg==" saltValue="KfnRR/cqfK967zBK52Zr6A==" spinCount="100000" sqref="B24 A22:B23" name="EDITABLE 1_1_1_2"/>
    <protectedRange algorithmName="SHA-512" hashValue="pJNw8ysPJcfMEDlzTgza0siiHuU4FkUpIzbuTX325DFaYD5nL5ng0z0JoIGpE+CYch2hq/LccMqSM51MpHojPQ==" saltValue="xv9nj4u85CXs/Kmy5tmlKw==" spinCount="100000" sqref="E22:E24" name="EDITABLE 2_1_9"/>
    <protectedRange algorithmName="SHA-512" hashValue="ytsoXFfC1+WmXVaa1/e6XfcZ7vPjNmSnuZe33NqN4NcqbRxNJdzSGuklMRpskJNPYNNz1yZQe585JE4aSLisOg==" saltValue="/jSLFmNX0mB2vn2qhSJbtw==" spinCount="100000" sqref="I25:L25" name="EDITABLE 3_7"/>
    <protectedRange algorithmName="SHA-512" hashValue="pJNw8ysPJcfMEDlzTgza0siiHuU4FkUpIzbuTX325DFaYD5nL5ng0z0JoIGpE+CYch2hq/LccMqSM51MpHojPQ==" saltValue="xv9nj4u85CXs/Kmy5tmlKw==" spinCount="100000" sqref="F25:G25" name="EDITABLE 2_7"/>
    <protectedRange algorithmName="SHA-512" hashValue="Lst7hsT/mUUQvFsOUalIdMZhSjExDj/C7u4r1gIjHREwBj16N7lqODQ0CY6n+RXalo774Zm4aYZKVBS0n4XIeg==" saltValue="KfnRR/cqfK967zBK52Zr6A==" spinCount="100000" sqref="C25" name="EDITABLE 1_7"/>
    <protectedRange algorithmName="SHA-512" hashValue="Lst7hsT/mUUQvFsOUalIdMZhSjExDj/C7u4r1gIjHREwBj16N7lqODQ0CY6n+RXalo774Zm4aYZKVBS0n4XIeg==" saltValue="KfnRR/cqfK967zBK52Zr6A==" spinCount="100000" sqref="A25:B25" name="EDITABLE 1_1_1_3"/>
    <protectedRange algorithmName="SHA-512" hashValue="pJNw8ysPJcfMEDlzTgza0siiHuU4FkUpIzbuTX325DFaYD5nL5ng0z0JoIGpE+CYch2hq/LccMqSM51MpHojPQ==" saltValue="xv9nj4u85CXs/Kmy5tmlKw==" spinCount="100000" sqref="E25" name="EDITABLE 2_1_10"/>
    <protectedRange algorithmName="SHA-512" hashValue="ytsoXFfC1+WmXVaa1/e6XfcZ7vPjNmSnuZe33NqN4NcqbRxNJdzSGuklMRpskJNPYNNz1yZQe585JE4aSLisOg==" saltValue="/jSLFmNX0mB2vn2qhSJbtw==" spinCount="100000" sqref="I26:L27" name="EDITABLE 3_1"/>
    <protectedRange algorithmName="SHA-512" hashValue="pJNw8ysPJcfMEDlzTgza0siiHuU4FkUpIzbuTX325DFaYD5nL5ng0z0JoIGpE+CYch2hq/LccMqSM51MpHojPQ==" saltValue="xv9nj4u85CXs/Kmy5tmlKw==" spinCount="100000" sqref="E26:G27" name="EDITABLE 2_1"/>
    <protectedRange algorithmName="SHA-512" hashValue="Lst7hsT/mUUQvFsOUalIdMZhSjExDj/C7u4r1gIjHREwBj16N7lqODQ0CY6n+RXalo774Zm4aYZKVBS0n4XIeg==" saltValue="KfnRR/cqfK967zBK52Zr6A==" spinCount="100000" sqref="A26:C27" name="EDITABLE 1_1"/>
    <protectedRange algorithmName="SHA-512" hashValue="ytsoXFfC1+WmXVaa1/e6XfcZ7vPjNmSnuZe33NqN4NcqbRxNJdzSGuklMRpskJNPYNNz1yZQe585JE4aSLisOg==" saltValue="/jSLFmNX0mB2vn2qhSJbtw==" spinCount="100000" sqref="I28:L29 I31:L32 J30:K30" name="EDITABLE 3_3"/>
    <protectedRange algorithmName="SHA-512" hashValue="pJNw8ysPJcfMEDlzTgza0siiHuU4FkUpIzbuTX325DFaYD5nL5ng0z0JoIGpE+CYch2hq/LccMqSM51MpHojPQ==" saltValue="xv9nj4u85CXs/Kmy5tmlKw==" spinCount="100000" sqref="E28:G29 E31:G32" name="EDITABLE 2_3"/>
    <protectedRange algorithmName="SHA-512" hashValue="Lst7hsT/mUUQvFsOUalIdMZhSjExDj/C7u4r1gIjHREwBj16N7lqODQ0CY6n+RXalo774Zm4aYZKVBS0n4XIeg==" saltValue="KfnRR/cqfK967zBK52Zr6A==" spinCount="100000" sqref="A28:C29 A31:C32" name="EDITABLE 1_3"/>
    <protectedRange algorithmName="SHA-512" hashValue="ytsoXFfC1+WmXVaa1/e6XfcZ7vPjNmSnuZe33NqN4NcqbRxNJdzSGuklMRpskJNPYNNz1yZQe585JE4aSLisOg==" saltValue="/jSLFmNX0mB2vn2qhSJbtw==" spinCount="100000" sqref="I30 L30" name="EDITABLE 3_5"/>
    <protectedRange algorithmName="SHA-512" hashValue="pJNw8ysPJcfMEDlzTgza0siiHuU4FkUpIzbuTX325DFaYD5nL5ng0z0JoIGpE+CYch2hq/LccMqSM51MpHojPQ==" saltValue="xv9nj4u85CXs/Kmy5tmlKw==" spinCount="100000" sqref="F30:G30" name="EDITABLE 2_5"/>
    <protectedRange algorithmName="SHA-512" hashValue="Lst7hsT/mUUQvFsOUalIdMZhSjExDj/C7u4r1gIjHREwBj16N7lqODQ0CY6n+RXalo774Zm4aYZKVBS0n4XIeg==" saltValue="KfnRR/cqfK967zBK52Zr6A==" spinCount="100000" sqref="A30:C30" name="EDITABLE 1_5"/>
    <protectedRange algorithmName="SHA-512" hashValue="pJNw8ysPJcfMEDlzTgza0siiHuU4FkUpIzbuTX325DFaYD5nL5ng0z0JoIGpE+CYch2hq/LccMqSM51MpHojPQ==" saltValue="xv9nj4u85CXs/Kmy5tmlKw==" spinCount="100000" sqref="E30" name="EDITABLE 2_1_3"/>
    <protectedRange algorithmName="SHA-512" hashValue="ytsoXFfC1+WmXVaa1/e6XfcZ7vPjNmSnuZe33NqN4NcqbRxNJdzSGuklMRpskJNPYNNz1yZQe585JE4aSLisOg==" saltValue="/jSLFmNX0mB2vn2qhSJbtw==" spinCount="100000" sqref="I66:L70" name="EDITABLE 3_4_1"/>
    <protectedRange algorithmName="SHA-512" hashValue="pJNw8ysPJcfMEDlzTgza0siiHuU4FkUpIzbuTX325DFaYD5nL5ng0z0JoIGpE+CYch2hq/LccMqSM51MpHojPQ==" saltValue="xv9nj4u85CXs/Kmy5tmlKw==" spinCount="100000" sqref="E66:G70" name="EDITABLE 2_4_1"/>
    <protectedRange algorithmName="SHA-512" hashValue="Lst7hsT/mUUQvFsOUalIdMZhSjExDj/C7u4r1gIjHREwBj16N7lqODQ0CY6n+RXalo774Zm4aYZKVBS0n4XIeg==" saltValue="KfnRR/cqfK967zBK52Zr6A==" spinCount="100000" sqref="A66:C70" name="EDITABLE 1_4_1"/>
  </protectedRanges>
  <mergeCells count="3">
    <mergeCell ref="A1:P1"/>
    <mergeCell ref="A2:P2"/>
    <mergeCell ref="A3:P3"/>
  </mergeCells>
  <dataValidations count="2">
    <dataValidation type="list" allowBlank="1" showInputMessage="1" showErrorMessage="1" sqref="G5:G120" xr:uid="{59F92372-83C6-477E-801B-2A959036B234}">
      <formula1>INDIRECT(F5)</formula1>
    </dataValidation>
    <dataValidation type="list" allowBlank="1" showInputMessage="1" showErrorMessage="1" sqref="F5:F120" xr:uid="{68DCC946-7918-4022-AA78-0446278B8C0B}">
      <formula1>CAPITULOS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5" scale="60" orientation="landscape" r:id="rId1"/>
  <drawing r:id="rId2"/>
  <tableParts count="1">
    <tablePart r:id="rId3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3E5CEA-7BF7-4AA0-98F8-2DEDBD120552}">
  <sheetPr>
    <tabColor rgb="FF00B050"/>
  </sheetPr>
  <dimension ref="A1:P156"/>
  <sheetViews>
    <sheetView zoomScale="120" zoomScaleNormal="120" workbookViewId="0">
      <pane ySplit="4" topLeftCell="A47" activePane="bottomLeft" state="frozen"/>
      <selection activeCell="L24" sqref="L24"/>
      <selection pane="bottomLeft" activeCell="L24" sqref="L24"/>
    </sheetView>
  </sheetViews>
  <sheetFormatPr baseColWidth="10" defaultColWidth="11.42578125" defaultRowHeight="37.5" customHeight="1" x14ac:dyDescent="0.2"/>
  <cols>
    <col min="1" max="1" width="10.28515625" style="1" customWidth="1"/>
    <col min="2" max="2" width="17.5703125" style="1" customWidth="1"/>
    <col min="3" max="3" width="18.140625" style="1" customWidth="1"/>
    <col min="4" max="4" width="18.28515625" style="1" customWidth="1"/>
    <col min="5" max="5" width="14.7109375" style="1" customWidth="1"/>
    <col min="6" max="6" width="13.42578125" style="1" customWidth="1"/>
    <col min="7" max="7" width="11.42578125" style="1" customWidth="1"/>
    <col min="8" max="8" width="33.85546875" style="1" customWidth="1"/>
    <col min="9" max="12" width="14.140625" style="1" bestFit="1" customWidth="1"/>
    <col min="13" max="13" width="16.85546875" style="1" customWidth="1"/>
    <col min="14" max="14" width="20.28515625" style="1" customWidth="1"/>
    <col min="15" max="15" width="19.7109375" style="1" customWidth="1"/>
    <col min="16" max="16" width="18.5703125" style="1" customWidth="1"/>
    <col min="17" max="16384" width="11.42578125" style="1"/>
  </cols>
  <sheetData>
    <row r="1" spans="1:16" ht="22.5" customHeight="1" x14ac:dyDescent="0.2">
      <c r="A1" s="115" t="s">
        <v>24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</row>
    <row r="2" spans="1:16" ht="18.75" customHeight="1" x14ac:dyDescent="0.2">
      <c r="A2" s="118" t="s">
        <v>180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</row>
    <row r="3" spans="1:16" ht="32.25" customHeight="1" x14ac:dyDescent="0.2">
      <c r="A3" s="117" t="s">
        <v>25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</row>
    <row r="4" spans="1:16" s="2" customFormat="1" ht="48" customHeight="1" x14ac:dyDescent="0.2">
      <c r="A4" s="72" t="s">
        <v>0</v>
      </c>
      <c r="B4" s="72" t="s">
        <v>1</v>
      </c>
      <c r="C4" s="72" t="s">
        <v>2</v>
      </c>
      <c r="D4" s="72" t="s">
        <v>3</v>
      </c>
      <c r="E4" s="72" t="s">
        <v>4</v>
      </c>
      <c r="F4" s="72" t="s">
        <v>5</v>
      </c>
      <c r="G4" s="72" t="s">
        <v>6</v>
      </c>
      <c r="H4" s="72" t="s">
        <v>7</v>
      </c>
      <c r="I4" s="72" t="s">
        <v>26</v>
      </c>
      <c r="J4" s="72" t="s">
        <v>8</v>
      </c>
      <c r="K4" s="72" t="s">
        <v>9</v>
      </c>
      <c r="L4" s="72" t="s">
        <v>10</v>
      </c>
      <c r="M4" s="72" t="s">
        <v>27</v>
      </c>
      <c r="N4" s="72" t="s">
        <v>11</v>
      </c>
      <c r="O4" s="72" t="s">
        <v>12</v>
      </c>
      <c r="P4" s="72" t="s">
        <v>13</v>
      </c>
    </row>
    <row r="5" spans="1:16" ht="37.5" customHeight="1" x14ac:dyDescent="0.2">
      <c r="A5" s="3">
        <v>1600000</v>
      </c>
      <c r="B5" s="4" t="s">
        <v>181</v>
      </c>
      <c r="C5" s="5">
        <v>530</v>
      </c>
      <c r="D5" s="46" t="str">
        <f>IF(C5&lt;=0,"",VLOOKUP(C5,[5]FF!A:D,2,0))</f>
        <v>PARTICIPACIONES Ramo 28</v>
      </c>
      <c r="E5" s="5">
        <v>1601000</v>
      </c>
      <c r="F5" s="5" t="s">
        <v>15</v>
      </c>
      <c r="G5" s="8">
        <v>211001</v>
      </c>
      <c r="H5" s="45" t="s">
        <v>182</v>
      </c>
      <c r="I5" s="12">
        <v>52009</v>
      </c>
      <c r="J5" s="12">
        <v>162535</v>
      </c>
      <c r="K5" s="12">
        <v>78061</v>
      </c>
      <c r="L5" s="12">
        <v>59226</v>
      </c>
      <c r="M5" s="11">
        <f>SUM(Tabla114[[#This Row],[TRIMESTRE  I]:[TRIMESTRE IV]])</f>
        <v>351831</v>
      </c>
      <c r="N5" s="12" t="s">
        <v>17</v>
      </c>
      <c r="O5" s="13" t="s">
        <v>183</v>
      </c>
      <c r="P5" s="8" t="s">
        <v>37</v>
      </c>
    </row>
    <row r="6" spans="1:16" ht="37.5" customHeight="1" x14ac:dyDescent="0.2">
      <c r="A6" s="3">
        <v>1600000</v>
      </c>
      <c r="B6" s="4" t="s">
        <v>181</v>
      </c>
      <c r="C6" s="5">
        <v>530</v>
      </c>
      <c r="D6" s="46" t="str">
        <f>IF(C6&lt;=0,"",VLOOKUP(C6,[5]FF!A:D,2,0))</f>
        <v>PARTICIPACIONES Ramo 28</v>
      </c>
      <c r="E6" s="5">
        <v>1601000</v>
      </c>
      <c r="F6" s="5" t="s">
        <v>15</v>
      </c>
      <c r="G6" s="8">
        <v>212001</v>
      </c>
      <c r="H6" s="45" t="s">
        <v>184</v>
      </c>
      <c r="I6" s="12">
        <v>56854</v>
      </c>
      <c r="J6" s="12">
        <v>161191</v>
      </c>
      <c r="K6" s="12">
        <v>77279</v>
      </c>
      <c r="L6" s="12">
        <v>61698</v>
      </c>
      <c r="M6" s="11">
        <f>SUM(Tabla114[[#This Row],[TRIMESTRE  I]:[TRIMESTRE IV]])</f>
        <v>357022</v>
      </c>
      <c r="N6" s="12" t="s">
        <v>20</v>
      </c>
      <c r="O6" s="13" t="s">
        <v>185</v>
      </c>
      <c r="P6" s="8" t="s">
        <v>186</v>
      </c>
    </row>
    <row r="7" spans="1:16" ht="37.5" customHeight="1" x14ac:dyDescent="0.2">
      <c r="A7" s="3">
        <v>1600000</v>
      </c>
      <c r="B7" s="4" t="s">
        <v>181</v>
      </c>
      <c r="C7" s="5">
        <v>530</v>
      </c>
      <c r="D7" s="46" t="str">
        <f>IF(C7&lt;=0,"",VLOOKUP(C7,[5]FF!A:D,2,0))</f>
        <v>PARTICIPACIONES Ramo 28</v>
      </c>
      <c r="E7" s="5">
        <v>1601000</v>
      </c>
      <c r="F7" s="5" t="s">
        <v>15</v>
      </c>
      <c r="G7" s="8">
        <v>215001</v>
      </c>
      <c r="H7" s="45" t="s">
        <v>187</v>
      </c>
      <c r="I7" s="12">
        <v>9179</v>
      </c>
      <c r="J7" s="12">
        <v>10092</v>
      </c>
      <c r="K7" s="12">
        <v>4942</v>
      </c>
      <c r="L7" s="12">
        <v>2943</v>
      </c>
      <c r="M7" s="11">
        <f>SUM(Tabla114[[#This Row],[TRIMESTRE  I]:[TRIMESTRE IV]])</f>
        <v>27156</v>
      </c>
      <c r="N7" s="12" t="s">
        <v>19</v>
      </c>
      <c r="O7" s="13" t="s">
        <v>188</v>
      </c>
      <c r="P7" s="8" t="s">
        <v>189</v>
      </c>
    </row>
    <row r="8" spans="1:16" ht="37.5" customHeight="1" x14ac:dyDescent="0.2">
      <c r="A8" s="3">
        <v>1600000</v>
      </c>
      <c r="B8" s="4" t="s">
        <v>181</v>
      </c>
      <c r="C8" s="5">
        <v>530</v>
      </c>
      <c r="D8" s="46" t="str">
        <f>IF(C8&lt;=0,"",VLOOKUP(C8,[5]FF!A:D,2,0))</f>
        <v>PARTICIPACIONES Ramo 28</v>
      </c>
      <c r="E8" s="5">
        <v>1601000</v>
      </c>
      <c r="F8" s="5" t="s">
        <v>15</v>
      </c>
      <c r="G8" s="8">
        <v>216001</v>
      </c>
      <c r="H8" s="45" t="s">
        <v>190</v>
      </c>
      <c r="I8" s="12">
        <v>14821</v>
      </c>
      <c r="J8" s="12">
        <v>22415</v>
      </c>
      <c r="K8" s="12">
        <v>14358</v>
      </c>
      <c r="L8" s="12">
        <v>6658</v>
      </c>
      <c r="M8" s="11">
        <f>SUM(Tabla114[[#This Row],[TRIMESTRE  I]:[TRIMESTRE IV]])</f>
        <v>58252</v>
      </c>
      <c r="N8" s="12" t="s">
        <v>17</v>
      </c>
      <c r="O8" s="13" t="s">
        <v>183</v>
      </c>
      <c r="P8" s="8" t="s">
        <v>37</v>
      </c>
    </row>
    <row r="9" spans="1:16" ht="37.5" customHeight="1" x14ac:dyDescent="0.2">
      <c r="A9" s="3">
        <v>1600000</v>
      </c>
      <c r="B9" s="4" t="s">
        <v>181</v>
      </c>
      <c r="C9" s="5">
        <v>530</v>
      </c>
      <c r="D9" s="46" t="str">
        <f>IF(C9&lt;=0,"",VLOOKUP(C9,[5]FF!A:D,2,0))</f>
        <v>PARTICIPACIONES Ramo 28</v>
      </c>
      <c r="E9" s="5">
        <v>1601000</v>
      </c>
      <c r="F9" s="5" t="s">
        <v>15</v>
      </c>
      <c r="G9" s="8">
        <v>221001</v>
      </c>
      <c r="H9" s="45" t="s">
        <v>191</v>
      </c>
      <c r="I9" s="12">
        <v>15687</v>
      </c>
      <c r="J9" s="12">
        <v>18442</v>
      </c>
      <c r="K9" s="12">
        <v>10182</v>
      </c>
      <c r="L9" s="12">
        <v>14298</v>
      </c>
      <c r="M9" s="11">
        <f>SUM(Tabla114[[#This Row],[TRIMESTRE  I]:[TRIMESTRE IV]])</f>
        <v>58609</v>
      </c>
      <c r="N9" s="12" t="s">
        <v>19</v>
      </c>
      <c r="O9" s="13" t="s">
        <v>192</v>
      </c>
      <c r="P9" s="8" t="s">
        <v>189</v>
      </c>
    </row>
    <row r="10" spans="1:16" ht="37.5" customHeight="1" x14ac:dyDescent="0.2">
      <c r="A10" s="3">
        <v>1600000</v>
      </c>
      <c r="B10" s="4" t="s">
        <v>181</v>
      </c>
      <c r="C10" s="5">
        <v>530</v>
      </c>
      <c r="D10" s="46" t="str">
        <f>IF(C10&lt;=0,"",VLOOKUP(C10,[5]FF!A:D,2,0))</f>
        <v>PARTICIPACIONES Ramo 28</v>
      </c>
      <c r="E10" s="5">
        <v>1601000</v>
      </c>
      <c r="F10" s="5" t="s">
        <v>15</v>
      </c>
      <c r="G10" s="8">
        <v>233001</v>
      </c>
      <c r="H10" s="45" t="s">
        <v>193</v>
      </c>
      <c r="I10" s="12">
        <v>246</v>
      </c>
      <c r="J10" s="12">
        <v>246</v>
      </c>
      <c r="K10" s="12">
        <v>246</v>
      </c>
      <c r="L10" s="12">
        <v>246</v>
      </c>
      <c r="M10" s="11">
        <f>SUM(Tabla114[[#This Row],[TRIMESTRE  I]:[TRIMESTRE IV]])</f>
        <v>984</v>
      </c>
      <c r="N10" s="12" t="s">
        <v>19</v>
      </c>
      <c r="O10" s="13" t="s">
        <v>194</v>
      </c>
      <c r="P10" s="8" t="s">
        <v>189</v>
      </c>
    </row>
    <row r="11" spans="1:16" ht="37.5" customHeight="1" x14ac:dyDescent="0.2">
      <c r="A11" s="3">
        <v>1600000</v>
      </c>
      <c r="B11" s="4" t="s">
        <v>181</v>
      </c>
      <c r="C11" s="5">
        <v>530</v>
      </c>
      <c r="D11" s="46" t="str">
        <f>IF(C11&lt;=0,"",VLOOKUP(C11,[5]FF!A:D,2,0))</f>
        <v>PARTICIPACIONES Ramo 28</v>
      </c>
      <c r="E11" s="5">
        <v>1601000</v>
      </c>
      <c r="F11" s="5" t="s">
        <v>15</v>
      </c>
      <c r="G11" s="8">
        <v>246001</v>
      </c>
      <c r="H11" s="45" t="s">
        <v>195</v>
      </c>
      <c r="I11" s="12">
        <v>22322</v>
      </c>
      <c r="J11" s="12">
        <v>48768</v>
      </c>
      <c r="K11" s="12">
        <v>19818</v>
      </c>
      <c r="L11" s="12">
        <v>16142</v>
      </c>
      <c r="M11" s="11">
        <f>SUM(Tabla114[[#This Row],[TRIMESTRE  I]:[TRIMESTRE IV]])</f>
        <v>107050</v>
      </c>
      <c r="N11" s="12" t="s">
        <v>19</v>
      </c>
      <c r="O11" s="13" t="s">
        <v>196</v>
      </c>
      <c r="P11" s="8" t="s">
        <v>189</v>
      </c>
    </row>
    <row r="12" spans="1:16" ht="37.5" customHeight="1" x14ac:dyDescent="0.2">
      <c r="A12" s="3">
        <v>1600000</v>
      </c>
      <c r="B12" s="4" t="s">
        <v>181</v>
      </c>
      <c r="C12" s="5">
        <v>530</v>
      </c>
      <c r="D12" s="46" t="str">
        <f>IF(C12&lt;=0,"",VLOOKUP(C12,[5]FF!A:D,2,0))</f>
        <v>PARTICIPACIONES Ramo 28</v>
      </c>
      <c r="E12" s="5">
        <v>1601000</v>
      </c>
      <c r="F12" s="5" t="s">
        <v>15</v>
      </c>
      <c r="G12" s="8">
        <v>253001</v>
      </c>
      <c r="H12" s="45" t="s">
        <v>197</v>
      </c>
      <c r="I12" s="12">
        <v>56469</v>
      </c>
      <c r="J12" s="12">
        <v>115865</v>
      </c>
      <c r="K12" s="12">
        <v>28526</v>
      </c>
      <c r="L12" s="12">
        <v>23131</v>
      </c>
      <c r="M12" s="11">
        <f>SUM(Tabla114[[#This Row],[TRIMESTRE  I]:[TRIMESTRE IV]])</f>
        <v>223991</v>
      </c>
      <c r="N12" s="12" t="s">
        <v>19</v>
      </c>
      <c r="O12" s="13" t="s">
        <v>196</v>
      </c>
      <c r="P12" s="8" t="s">
        <v>189</v>
      </c>
    </row>
    <row r="13" spans="1:16" ht="37.5" customHeight="1" x14ac:dyDescent="0.2">
      <c r="A13" s="3">
        <v>1600000</v>
      </c>
      <c r="B13" s="4" t="s">
        <v>181</v>
      </c>
      <c r="C13" s="5">
        <v>530</v>
      </c>
      <c r="D13" s="46" t="str">
        <f>IF(C13&lt;=0,"",VLOOKUP(C13,[5]FF!A:D,2,0))</f>
        <v>PARTICIPACIONES Ramo 28</v>
      </c>
      <c r="E13" s="5">
        <v>1601000</v>
      </c>
      <c r="F13" s="5" t="s">
        <v>15</v>
      </c>
      <c r="G13" s="8">
        <v>261001</v>
      </c>
      <c r="H13" s="45" t="s">
        <v>198</v>
      </c>
      <c r="I13" s="12">
        <v>402425</v>
      </c>
      <c r="J13" s="12">
        <v>526676</v>
      </c>
      <c r="K13" s="12">
        <v>474356</v>
      </c>
      <c r="L13" s="12">
        <v>466960</v>
      </c>
      <c r="M13" s="11">
        <f>SUM(Tabla114[[#This Row],[TRIMESTRE  I]:[TRIMESTRE IV]])</f>
        <v>1870417</v>
      </c>
      <c r="N13" s="12" t="s">
        <v>17</v>
      </c>
      <c r="O13" s="13" t="s">
        <v>183</v>
      </c>
      <c r="P13" s="8" t="s">
        <v>37</v>
      </c>
    </row>
    <row r="14" spans="1:16" ht="37.5" customHeight="1" x14ac:dyDescent="0.2">
      <c r="A14" s="3">
        <v>1600000</v>
      </c>
      <c r="B14" s="4" t="s">
        <v>181</v>
      </c>
      <c r="C14" s="5">
        <v>530</v>
      </c>
      <c r="D14" s="46" t="str">
        <f>IF(C14&lt;=0,"",VLOOKUP(C14,[5]FF!A:D,2,0))</f>
        <v>PARTICIPACIONES Ramo 28</v>
      </c>
      <c r="E14" s="5">
        <v>1601000</v>
      </c>
      <c r="F14" s="5" t="s">
        <v>15</v>
      </c>
      <c r="G14" s="8">
        <v>261002</v>
      </c>
      <c r="H14" s="45" t="s">
        <v>199</v>
      </c>
      <c r="I14" s="12">
        <v>61943</v>
      </c>
      <c r="J14" s="12">
        <v>132117</v>
      </c>
      <c r="K14" s="12">
        <v>68915</v>
      </c>
      <c r="L14" s="12">
        <v>38843</v>
      </c>
      <c r="M14" s="11">
        <f>SUM(Tabla114[[#This Row],[TRIMESTRE  I]:[TRIMESTRE IV]])</f>
        <v>301818</v>
      </c>
      <c r="N14" s="12" t="s">
        <v>19</v>
      </c>
      <c r="O14" s="13" t="s">
        <v>192</v>
      </c>
      <c r="P14" s="8" t="s">
        <v>189</v>
      </c>
    </row>
    <row r="15" spans="1:16" ht="37.5" customHeight="1" x14ac:dyDescent="0.2">
      <c r="A15" s="3">
        <v>1600000</v>
      </c>
      <c r="B15" s="4" t="s">
        <v>181</v>
      </c>
      <c r="C15" s="5">
        <v>530</v>
      </c>
      <c r="D15" s="46" t="str">
        <f>IF(C15&lt;=0,"",VLOOKUP(C15,[5]FF!A:D,2,0))</f>
        <v>PARTICIPACIONES Ramo 28</v>
      </c>
      <c r="E15" s="5">
        <v>1601000</v>
      </c>
      <c r="F15" s="5" t="s">
        <v>15</v>
      </c>
      <c r="G15" s="8">
        <v>271001</v>
      </c>
      <c r="H15" s="45" t="s">
        <v>200</v>
      </c>
      <c r="I15" s="12">
        <v>50266</v>
      </c>
      <c r="J15" s="12">
        <v>136507</v>
      </c>
      <c r="K15" s="12">
        <v>51351</v>
      </c>
      <c r="L15" s="12">
        <v>19603</v>
      </c>
      <c r="M15" s="11">
        <f>SUM(Tabla114[[#This Row],[TRIMESTRE  I]:[TRIMESTRE IV]])</f>
        <v>257727</v>
      </c>
      <c r="N15" s="12" t="s">
        <v>19</v>
      </c>
      <c r="O15" s="13" t="s">
        <v>194</v>
      </c>
      <c r="P15" s="8" t="s">
        <v>186</v>
      </c>
    </row>
    <row r="16" spans="1:16" ht="37.5" customHeight="1" x14ac:dyDescent="0.2">
      <c r="A16" s="3">
        <v>1600000</v>
      </c>
      <c r="B16" s="4" t="s">
        <v>181</v>
      </c>
      <c r="C16" s="5">
        <v>530</v>
      </c>
      <c r="D16" s="46" t="str">
        <f>IF(C16&lt;=0,"",VLOOKUP(C16,[5]FF!A:D,2,0))</f>
        <v>PARTICIPACIONES Ramo 28</v>
      </c>
      <c r="E16" s="5">
        <v>1601000</v>
      </c>
      <c r="F16" s="5" t="s">
        <v>15</v>
      </c>
      <c r="G16" s="8">
        <v>273001</v>
      </c>
      <c r="H16" s="45" t="s">
        <v>201</v>
      </c>
      <c r="I16" s="12">
        <v>4785</v>
      </c>
      <c r="J16" s="12">
        <v>7691</v>
      </c>
      <c r="K16" s="12">
        <v>2139</v>
      </c>
      <c r="L16" s="12">
        <v>2136</v>
      </c>
      <c r="M16" s="11">
        <f>SUM(Tabla114[[#This Row],[TRIMESTRE  I]:[TRIMESTRE IV]])</f>
        <v>16751</v>
      </c>
      <c r="N16" s="12" t="s">
        <v>19</v>
      </c>
      <c r="O16" s="13" t="s">
        <v>202</v>
      </c>
      <c r="P16" s="8" t="s">
        <v>189</v>
      </c>
    </row>
    <row r="17" spans="1:16" ht="37.5" customHeight="1" x14ac:dyDescent="0.2">
      <c r="A17" s="3">
        <v>1600000</v>
      </c>
      <c r="B17" s="4" t="s">
        <v>181</v>
      </c>
      <c r="C17" s="5">
        <v>530</v>
      </c>
      <c r="D17" s="46" t="str">
        <f>IF(C17&lt;=0,"",VLOOKUP(C17,[5]FF!A:D,2,0))</f>
        <v>PARTICIPACIONES Ramo 28</v>
      </c>
      <c r="E17" s="5">
        <v>1601000</v>
      </c>
      <c r="F17" s="5" t="s">
        <v>15</v>
      </c>
      <c r="G17" s="8">
        <v>292001</v>
      </c>
      <c r="H17" s="45" t="s">
        <v>203</v>
      </c>
      <c r="I17" s="12">
        <v>6981</v>
      </c>
      <c r="J17" s="12">
        <v>21847</v>
      </c>
      <c r="K17" s="12">
        <v>4987</v>
      </c>
      <c r="L17" s="12">
        <v>5314</v>
      </c>
      <c r="M17" s="11">
        <f>SUM(Tabla114[[#This Row],[TRIMESTRE  I]:[TRIMESTRE IV]])</f>
        <v>39129</v>
      </c>
      <c r="N17" s="12" t="s">
        <v>19</v>
      </c>
      <c r="O17" s="13" t="s">
        <v>196</v>
      </c>
      <c r="P17" s="8" t="s">
        <v>189</v>
      </c>
    </row>
    <row r="18" spans="1:16" ht="37.5" customHeight="1" x14ac:dyDescent="0.2">
      <c r="A18" s="3">
        <v>1600000</v>
      </c>
      <c r="B18" s="4" t="s">
        <v>181</v>
      </c>
      <c r="C18" s="5">
        <v>530</v>
      </c>
      <c r="D18" s="46" t="str">
        <f>IF(C18&lt;=0,"",VLOOKUP(C18,[5]FF!A:D,2,0))</f>
        <v>PARTICIPACIONES Ramo 28</v>
      </c>
      <c r="E18" s="5">
        <v>1601000</v>
      </c>
      <c r="F18" s="5" t="s">
        <v>15</v>
      </c>
      <c r="G18" s="8">
        <v>293001</v>
      </c>
      <c r="H18" s="45" t="s">
        <v>204</v>
      </c>
      <c r="I18" s="12">
        <v>4986</v>
      </c>
      <c r="J18" s="12">
        <v>13392</v>
      </c>
      <c r="K18" s="12">
        <v>4987</v>
      </c>
      <c r="L18" s="12">
        <v>3048</v>
      </c>
      <c r="M18" s="11">
        <f>SUM(Tabla114[[#This Row],[TRIMESTRE  I]:[TRIMESTRE IV]])</f>
        <v>26413</v>
      </c>
      <c r="N18" s="12" t="s">
        <v>19</v>
      </c>
      <c r="O18" s="13" t="s">
        <v>194</v>
      </c>
      <c r="P18" s="8" t="s">
        <v>189</v>
      </c>
    </row>
    <row r="19" spans="1:16" ht="37.5" customHeight="1" x14ac:dyDescent="0.2">
      <c r="A19" s="3">
        <v>1600000</v>
      </c>
      <c r="B19" s="4" t="s">
        <v>181</v>
      </c>
      <c r="C19" s="5">
        <v>530</v>
      </c>
      <c r="D19" s="46" t="str">
        <f>IF(C19&lt;=0,"",VLOOKUP(C19,[5]FF!A:D,2,0))</f>
        <v>PARTICIPACIONES Ramo 28</v>
      </c>
      <c r="E19" s="5">
        <v>1601000</v>
      </c>
      <c r="F19" s="5" t="s">
        <v>15</v>
      </c>
      <c r="G19" s="8">
        <v>294001</v>
      </c>
      <c r="H19" s="45" t="s">
        <v>205</v>
      </c>
      <c r="I19" s="12">
        <v>6079</v>
      </c>
      <c r="J19" s="12">
        <v>17483</v>
      </c>
      <c r="K19" s="12">
        <v>4039</v>
      </c>
      <c r="L19" s="12">
        <v>3327</v>
      </c>
      <c r="M19" s="11">
        <f>SUM(Tabla114[[#This Row],[TRIMESTRE  I]:[TRIMESTRE IV]])</f>
        <v>30928</v>
      </c>
      <c r="N19" s="12" t="s">
        <v>19</v>
      </c>
      <c r="O19" s="13" t="s">
        <v>194</v>
      </c>
      <c r="P19" s="8" t="s">
        <v>189</v>
      </c>
    </row>
    <row r="20" spans="1:16" ht="37.5" customHeight="1" x14ac:dyDescent="0.2">
      <c r="A20" s="3">
        <v>1600000</v>
      </c>
      <c r="B20" s="4" t="s">
        <v>181</v>
      </c>
      <c r="C20" s="5">
        <v>530</v>
      </c>
      <c r="D20" s="46" t="str">
        <f>IF(C20&lt;=0,"",VLOOKUP(C20,[5]FF!A:D,2,0))</f>
        <v>PARTICIPACIONES Ramo 28</v>
      </c>
      <c r="E20" s="5">
        <v>1601000</v>
      </c>
      <c r="F20" s="5" t="s">
        <v>15</v>
      </c>
      <c r="G20" s="8">
        <v>294002</v>
      </c>
      <c r="H20" s="45" t="s">
        <v>206</v>
      </c>
      <c r="I20" s="12">
        <v>4779</v>
      </c>
      <c r="J20" s="12">
        <v>16706</v>
      </c>
      <c r="K20" s="12">
        <v>6566</v>
      </c>
      <c r="L20" s="12">
        <v>3945</v>
      </c>
      <c r="M20" s="11">
        <f>SUM(Tabla114[[#This Row],[TRIMESTRE  I]:[TRIMESTRE IV]])</f>
        <v>31996</v>
      </c>
      <c r="N20" s="12" t="s">
        <v>19</v>
      </c>
      <c r="O20" s="13" t="s">
        <v>194</v>
      </c>
      <c r="P20" s="8" t="s">
        <v>189</v>
      </c>
    </row>
    <row r="21" spans="1:16" ht="37.5" customHeight="1" x14ac:dyDescent="0.2">
      <c r="A21" s="3">
        <v>1600000</v>
      </c>
      <c r="B21" s="4" t="s">
        <v>181</v>
      </c>
      <c r="C21" s="5">
        <v>530</v>
      </c>
      <c r="D21" s="46" t="str">
        <f>IF(C21&lt;=0,"",VLOOKUP(C21,[5]FF!A:D,2,0))</f>
        <v>PARTICIPACIONES Ramo 28</v>
      </c>
      <c r="E21" s="5">
        <v>1601000</v>
      </c>
      <c r="F21" s="5" t="s">
        <v>15</v>
      </c>
      <c r="G21" s="8">
        <v>296001</v>
      </c>
      <c r="H21" s="45" t="s">
        <v>207</v>
      </c>
      <c r="I21" s="12">
        <v>99736</v>
      </c>
      <c r="J21" s="12">
        <v>214962</v>
      </c>
      <c r="K21" s="12">
        <v>123419</v>
      </c>
      <c r="L21" s="12">
        <v>87568</v>
      </c>
      <c r="M21" s="11">
        <f>SUM(Tabla114[[#This Row],[TRIMESTRE  I]:[TRIMESTRE IV]])</f>
        <v>525685</v>
      </c>
      <c r="N21" s="12" t="s">
        <v>20</v>
      </c>
      <c r="O21" s="13" t="s">
        <v>194</v>
      </c>
      <c r="P21" s="8" t="s">
        <v>189</v>
      </c>
    </row>
    <row r="22" spans="1:16" ht="37.5" customHeight="1" x14ac:dyDescent="0.2">
      <c r="A22" s="3">
        <v>1600000</v>
      </c>
      <c r="B22" s="4" t="s">
        <v>181</v>
      </c>
      <c r="C22" s="5">
        <v>530</v>
      </c>
      <c r="D22" s="46" t="str">
        <f>IF(C22&lt;=0,"",VLOOKUP(C22,[5]FF!A:D,2,0))</f>
        <v>PARTICIPACIONES Ramo 28</v>
      </c>
      <c r="E22" s="5">
        <v>1601000</v>
      </c>
      <c r="F22" s="5" t="s">
        <v>22</v>
      </c>
      <c r="G22" s="8">
        <v>311001</v>
      </c>
      <c r="H22" s="45" t="s">
        <v>208</v>
      </c>
      <c r="I22" s="12">
        <v>202894</v>
      </c>
      <c r="J22" s="12">
        <v>330597</v>
      </c>
      <c r="K22" s="12">
        <v>569539</v>
      </c>
      <c r="L22" s="12">
        <v>307086</v>
      </c>
      <c r="M22" s="11">
        <f>SUM(Tabla114[[#This Row],[TRIMESTRE  I]:[TRIMESTRE IV]])</f>
        <v>1410116</v>
      </c>
      <c r="N22" s="12" t="s">
        <v>19</v>
      </c>
      <c r="O22" s="13" t="s">
        <v>192</v>
      </c>
      <c r="P22" s="8" t="s">
        <v>189</v>
      </c>
    </row>
    <row r="23" spans="1:16" ht="37.5" customHeight="1" x14ac:dyDescent="0.2">
      <c r="A23" s="3">
        <v>1600000</v>
      </c>
      <c r="B23" s="4" t="s">
        <v>181</v>
      </c>
      <c r="C23" s="5">
        <v>530</v>
      </c>
      <c r="D23" s="46" t="str">
        <f>IF(C23&lt;=0,"",VLOOKUP(C23,[5]FF!A:D,2,0))</f>
        <v>PARTICIPACIONES Ramo 28</v>
      </c>
      <c r="E23" s="5">
        <v>1601000</v>
      </c>
      <c r="F23" s="5" t="s">
        <v>22</v>
      </c>
      <c r="G23" s="8">
        <v>314001</v>
      </c>
      <c r="H23" s="45" t="s">
        <v>209</v>
      </c>
      <c r="I23" s="12">
        <v>127782</v>
      </c>
      <c r="J23" s="12">
        <v>127088</v>
      </c>
      <c r="K23" s="12">
        <v>127890</v>
      </c>
      <c r="L23" s="12">
        <v>127892</v>
      </c>
      <c r="M23" s="11">
        <f>SUM(Tabla114[[#This Row],[TRIMESTRE  I]:[TRIMESTRE IV]])</f>
        <v>510652</v>
      </c>
      <c r="N23" s="12" t="s">
        <v>19</v>
      </c>
      <c r="O23" s="13" t="s">
        <v>192</v>
      </c>
      <c r="P23" s="8" t="s">
        <v>189</v>
      </c>
    </row>
    <row r="24" spans="1:16" ht="37.5" customHeight="1" x14ac:dyDescent="0.2">
      <c r="A24" s="3">
        <v>1600000</v>
      </c>
      <c r="B24" s="4" t="s">
        <v>181</v>
      </c>
      <c r="C24" s="5">
        <v>530</v>
      </c>
      <c r="D24" s="46" t="str">
        <f>IF(C24&lt;=0,"",VLOOKUP(C24,[5]FF!A:D,2,0))</f>
        <v>PARTICIPACIONES Ramo 28</v>
      </c>
      <c r="E24" s="5">
        <v>1601000</v>
      </c>
      <c r="F24" s="5" t="s">
        <v>22</v>
      </c>
      <c r="G24" s="8">
        <v>318001</v>
      </c>
      <c r="H24" s="45" t="s">
        <v>210</v>
      </c>
      <c r="I24" s="12">
        <v>1009</v>
      </c>
      <c r="J24" s="12">
        <v>1085</v>
      </c>
      <c r="K24" s="12">
        <v>489</v>
      </c>
      <c r="L24" s="12">
        <v>421</v>
      </c>
      <c r="M24" s="11">
        <f>SUM(Tabla114[[#This Row],[TRIMESTRE  I]:[TRIMESTRE IV]])</f>
        <v>3004</v>
      </c>
      <c r="N24" s="12" t="s">
        <v>19</v>
      </c>
      <c r="O24" s="13" t="s">
        <v>192</v>
      </c>
      <c r="P24" s="8" t="s">
        <v>189</v>
      </c>
    </row>
    <row r="25" spans="1:16" ht="37.5" customHeight="1" x14ac:dyDescent="0.2">
      <c r="A25" s="3">
        <v>1600000</v>
      </c>
      <c r="B25" s="4" t="s">
        <v>181</v>
      </c>
      <c r="C25" s="5">
        <v>530</v>
      </c>
      <c r="D25" s="46" t="str">
        <f>IF(C25&lt;=0,"",VLOOKUP(C25,[5]FF!A:D,2,0))</f>
        <v>PARTICIPACIONES Ramo 28</v>
      </c>
      <c r="E25" s="5">
        <v>1601000</v>
      </c>
      <c r="F25" s="5" t="s">
        <v>22</v>
      </c>
      <c r="G25" s="8">
        <v>321001</v>
      </c>
      <c r="H25" s="45" t="s">
        <v>211</v>
      </c>
      <c r="I25" s="12">
        <v>31668</v>
      </c>
      <c r="J25" s="12">
        <v>31668</v>
      </c>
      <c r="K25" s="12">
        <v>31668</v>
      </c>
      <c r="L25" s="12">
        <v>31668</v>
      </c>
      <c r="M25" s="11">
        <f>SUM(Tabla114[[#This Row],[TRIMESTRE  I]:[TRIMESTRE IV]])</f>
        <v>126672</v>
      </c>
      <c r="N25" s="12" t="s">
        <v>19</v>
      </c>
      <c r="O25" s="13" t="s">
        <v>192</v>
      </c>
      <c r="P25" s="8" t="s">
        <v>189</v>
      </c>
    </row>
    <row r="26" spans="1:16" ht="37.5" customHeight="1" x14ac:dyDescent="0.2">
      <c r="A26" s="3">
        <v>1600000</v>
      </c>
      <c r="B26" s="4" t="s">
        <v>181</v>
      </c>
      <c r="C26" s="5">
        <v>530</v>
      </c>
      <c r="D26" s="46" t="str">
        <f>IF(C26&lt;=0,"",VLOOKUP(C26,[5]FF!A:D,2,0))</f>
        <v>PARTICIPACIONES Ramo 28</v>
      </c>
      <c r="E26" s="5">
        <v>1601000</v>
      </c>
      <c r="F26" s="5" t="s">
        <v>22</v>
      </c>
      <c r="G26" s="8">
        <v>322001</v>
      </c>
      <c r="H26" s="45" t="s">
        <v>212</v>
      </c>
      <c r="I26" s="12">
        <v>31668</v>
      </c>
      <c r="J26" s="12">
        <v>31668</v>
      </c>
      <c r="K26" s="12">
        <v>31668</v>
      </c>
      <c r="L26" s="12">
        <v>31668</v>
      </c>
      <c r="M26" s="11">
        <f>SUM(Tabla114[[#This Row],[TRIMESTRE  I]:[TRIMESTRE IV]])</f>
        <v>126672</v>
      </c>
      <c r="N26" s="12" t="s">
        <v>19</v>
      </c>
      <c r="O26" s="13" t="s">
        <v>192</v>
      </c>
      <c r="P26" s="8" t="s">
        <v>189</v>
      </c>
    </row>
    <row r="27" spans="1:16" ht="37.5" customHeight="1" x14ac:dyDescent="0.2">
      <c r="A27" s="3">
        <v>1600000</v>
      </c>
      <c r="B27" s="4" t="s">
        <v>181</v>
      </c>
      <c r="C27" s="5">
        <v>530</v>
      </c>
      <c r="D27" s="46" t="str">
        <f>IF(C27&lt;=0,"",VLOOKUP(C27,[5]FF!A:D,2,0))</f>
        <v>PARTICIPACIONES Ramo 28</v>
      </c>
      <c r="E27" s="5">
        <v>1601000</v>
      </c>
      <c r="F27" s="5" t="s">
        <v>22</v>
      </c>
      <c r="G27" s="8">
        <v>323001</v>
      </c>
      <c r="H27" s="45" t="s">
        <v>213</v>
      </c>
      <c r="I27" s="12">
        <v>3873</v>
      </c>
      <c r="J27" s="12">
        <v>3873</v>
      </c>
      <c r="K27" s="12">
        <v>3873</v>
      </c>
      <c r="L27" s="12">
        <v>3873</v>
      </c>
      <c r="M27" s="11">
        <f>SUM(Tabla114[[#This Row],[TRIMESTRE  I]:[TRIMESTRE IV]])</f>
        <v>15492</v>
      </c>
      <c r="N27" s="12" t="s">
        <v>17</v>
      </c>
      <c r="O27" s="13" t="s">
        <v>192</v>
      </c>
      <c r="P27" s="8" t="s">
        <v>189</v>
      </c>
    </row>
    <row r="28" spans="1:16" ht="37.5" customHeight="1" x14ac:dyDescent="0.2">
      <c r="A28" s="3">
        <v>1600000</v>
      </c>
      <c r="B28" s="4" t="s">
        <v>181</v>
      </c>
      <c r="C28" s="5">
        <v>530</v>
      </c>
      <c r="D28" s="46" t="str">
        <f>IF(C28&lt;=0,"",VLOOKUP(C28,[5]FF!A:D,2,0))</f>
        <v>PARTICIPACIONES Ramo 28</v>
      </c>
      <c r="E28" s="5">
        <v>1601000</v>
      </c>
      <c r="F28" s="5" t="s">
        <v>22</v>
      </c>
      <c r="G28" s="8">
        <v>325001</v>
      </c>
      <c r="H28" s="45" t="s">
        <v>214</v>
      </c>
      <c r="I28" s="12">
        <v>1540</v>
      </c>
      <c r="J28" s="12">
        <v>14504</v>
      </c>
      <c r="K28" s="12">
        <v>3757</v>
      </c>
      <c r="L28" s="12">
        <v>5673</v>
      </c>
      <c r="M28" s="11">
        <f>SUM(Tabla114[[#This Row],[TRIMESTRE  I]:[TRIMESTRE IV]])</f>
        <v>25474</v>
      </c>
      <c r="N28" s="12" t="s">
        <v>19</v>
      </c>
      <c r="O28" s="13" t="s">
        <v>192</v>
      </c>
      <c r="P28" s="8" t="s">
        <v>189</v>
      </c>
    </row>
    <row r="29" spans="1:16" ht="37.5" customHeight="1" x14ac:dyDescent="0.2">
      <c r="A29" s="3">
        <v>1600000</v>
      </c>
      <c r="B29" s="4" t="s">
        <v>181</v>
      </c>
      <c r="C29" s="5">
        <v>530</v>
      </c>
      <c r="D29" s="46" t="str">
        <f>IF(C29&lt;=0,"",VLOOKUP(C29,[5]FF!A:D,2,0))</f>
        <v>PARTICIPACIONES Ramo 28</v>
      </c>
      <c r="E29" s="5">
        <v>1601000</v>
      </c>
      <c r="F29" s="5" t="s">
        <v>22</v>
      </c>
      <c r="G29" s="8">
        <v>329001</v>
      </c>
      <c r="H29" s="45" t="s">
        <v>215</v>
      </c>
      <c r="I29" s="12">
        <v>3234</v>
      </c>
      <c r="J29" s="12">
        <v>4467</v>
      </c>
      <c r="K29" s="12">
        <v>1223</v>
      </c>
      <c r="L29" s="12">
        <v>1310</v>
      </c>
      <c r="M29" s="11">
        <f>SUM(Tabla114[[#This Row],[TRIMESTRE  I]:[TRIMESTRE IV]])</f>
        <v>10234</v>
      </c>
      <c r="N29" s="12" t="s">
        <v>19</v>
      </c>
      <c r="O29" s="13" t="s">
        <v>194</v>
      </c>
      <c r="P29" s="8" t="s">
        <v>189</v>
      </c>
    </row>
    <row r="30" spans="1:16" ht="37.5" customHeight="1" x14ac:dyDescent="0.2">
      <c r="A30" s="3">
        <v>1600000</v>
      </c>
      <c r="B30" s="4" t="s">
        <v>181</v>
      </c>
      <c r="C30" s="5">
        <v>530</v>
      </c>
      <c r="D30" s="46" t="str">
        <f>IF(C30&lt;=0,"",VLOOKUP(C30,[5]FF!A:D,2,0))</f>
        <v>PARTICIPACIONES Ramo 28</v>
      </c>
      <c r="E30" s="5">
        <v>1601000</v>
      </c>
      <c r="F30" s="5" t="s">
        <v>22</v>
      </c>
      <c r="G30" s="8">
        <v>334001</v>
      </c>
      <c r="H30" s="45" t="s">
        <v>216</v>
      </c>
      <c r="I30" s="12">
        <v>61743</v>
      </c>
      <c r="J30" s="12">
        <v>66527</v>
      </c>
      <c r="K30" s="12">
        <v>45572</v>
      </c>
      <c r="L30" s="12">
        <v>46983</v>
      </c>
      <c r="M30" s="11">
        <f>SUM(Tabla114[[#This Row],[TRIMESTRE  I]:[TRIMESTRE IV]])</f>
        <v>220825</v>
      </c>
      <c r="N30" s="12" t="s">
        <v>19</v>
      </c>
      <c r="O30" s="13" t="s">
        <v>185</v>
      </c>
      <c r="P30" s="8" t="s">
        <v>189</v>
      </c>
    </row>
    <row r="31" spans="1:16" ht="37.5" customHeight="1" x14ac:dyDescent="0.2">
      <c r="A31" s="3">
        <v>1600000</v>
      </c>
      <c r="B31" s="4" t="s">
        <v>181</v>
      </c>
      <c r="C31" s="5">
        <v>530</v>
      </c>
      <c r="D31" s="46" t="str">
        <f>IF(C31&lt;=0,"",VLOOKUP(C31,[5]FF!A:D,2,0))</f>
        <v>PARTICIPACIONES Ramo 28</v>
      </c>
      <c r="E31" s="5">
        <v>1601000</v>
      </c>
      <c r="F31" s="5" t="s">
        <v>22</v>
      </c>
      <c r="G31" s="8">
        <v>341001</v>
      </c>
      <c r="H31" s="45" t="s">
        <v>217</v>
      </c>
      <c r="I31" s="12">
        <v>1250</v>
      </c>
      <c r="J31" s="12">
        <v>1165</v>
      </c>
      <c r="K31" s="12">
        <v>787</v>
      </c>
      <c r="L31" s="12">
        <v>1016</v>
      </c>
      <c r="M31" s="11">
        <f>SUM(Tabla114[[#This Row],[TRIMESTRE  I]:[TRIMESTRE IV]])</f>
        <v>4218</v>
      </c>
      <c r="N31" s="12" t="s">
        <v>19</v>
      </c>
      <c r="O31" s="13" t="s">
        <v>192</v>
      </c>
      <c r="P31" s="8" t="s">
        <v>189</v>
      </c>
    </row>
    <row r="32" spans="1:16" ht="37.5" customHeight="1" x14ac:dyDescent="0.2">
      <c r="A32" s="3">
        <v>1600000</v>
      </c>
      <c r="B32" s="4" t="s">
        <v>181</v>
      </c>
      <c r="C32" s="5">
        <v>530</v>
      </c>
      <c r="D32" s="46" t="str">
        <f>IF(C32&lt;=0,"",VLOOKUP(C32,[5]FF!A:D,2,0))</f>
        <v>PARTICIPACIONES Ramo 28</v>
      </c>
      <c r="E32" s="5">
        <v>1601000</v>
      </c>
      <c r="F32" s="5" t="s">
        <v>22</v>
      </c>
      <c r="G32" s="8">
        <v>345001</v>
      </c>
      <c r="H32" s="45" t="s">
        <v>218</v>
      </c>
      <c r="I32" s="12">
        <v>30141</v>
      </c>
      <c r="J32" s="12">
        <v>134330</v>
      </c>
      <c r="K32" s="12">
        <v>52208</v>
      </c>
      <c r="L32" s="12">
        <v>43350</v>
      </c>
      <c r="M32" s="11">
        <f>SUM(Tabla114[[#This Row],[TRIMESTRE  I]:[TRIMESTRE IV]])</f>
        <v>260029</v>
      </c>
      <c r="N32" s="12" t="s">
        <v>17</v>
      </c>
      <c r="O32" s="13" t="s">
        <v>183</v>
      </c>
      <c r="P32" s="8" t="s">
        <v>186</v>
      </c>
    </row>
    <row r="33" spans="1:16" ht="37.5" customHeight="1" x14ac:dyDescent="0.2">
      <c r="A33" s="3">
        <v>1600000</v>
      </c>
      <c r="B33" s="4" t="s">
        <v>181</v>
      </c>
      <c r="C33" s="5">
        <v>530</v>
      </c>
      <c r="D33" s="46" t="str">
        <f>IF(C33&lt;=0,"",VLOOKUP(C33,[5]FF!A:D,2,0))</f>
        <v>PARTICIPACIONES Ramo 28</v>
      </c>
      <c r="E33" s="5">
        <v>1601000</v>
      </c>
      <c r="F33" s="5" t="s">
        <v>22</v>
      </c>
      <c r="G33" s="8">
        <v>347001</v>
      </c>
      <c r="H33" s="45" t="s">
        <v>219</v>
      </c>
      <c r="I33" s="12">
        <v>26589</v>
      </c>
      <c r="J33" s="12">
        <v>48852</v>
      </c>
      <c r="K33" s="12">
        <v>17604</v>
      </c>
      <c r="L33" s="12">
        <v>17348</v>
      </c>
      <c r="M33" s="11">
        <f>SUM(Tabla114[[#This Row],[TRIMESTRE  I]:[TRIMESTRE IV]])</f>
        <v>110393</v>
      </c>
      <c r="N33" s="12" t="s">
        <v>19</v>
      </c>
      <c r="O33" s="13" t="s">
        <v>194</v>
      </c>
      <c r="P33" s="8" t="s">
        <v>189</v>
      </c>
    </row>
    <row r="34" spans="1:16" ht="37.5" customHeight="1" x14ac:dyDescent="0.2">
      <c r="A34" s="3">
        <v>1600000</v>
      </c>
      <c r="B34" s="4" t="s">
        <v>181</v>
      </c>
      <c r="C34" s="5">
        <v>530</v>
      </c>
      <c r="D34" s="46" t="str">
        <f>IF(C34&lt;=0,"",VLOOKUP(C34,[5]FF!A:D,2,0))</f>
        <v>PARTICIPACIONES Ramo 28</v>
      </c>
      <c r="E34" s="5">
        <v>1601000</v>
      </c>
      <c r="F34" s="5" t="s">
        <v>22</v>
      </c>
      <c r="G34" s="8">
        <v>351001</v>
      </c>
      <c r="H34" s="45" t="s">
        <v>220</v>
      </c>
      <c r="I34" s="12">
        <v>30702</v>
      </c>
      <c r="J34" s="12">
        <v>82515</v>
      </c>
      <c r="K34" s="12">
        <v>24934</v>
      </c>
      <c r="L34" s="12">
        <v>26265</v>
      </c>
      <c r="M34" s="11">
        <f>SUM(Tabla114[[#This Row],[TRIMESTRE  I]:[TRIMESTRE IV]])</f>
        <v>164416</v>
      </c>
      <c r="N34" s="12" t="s">
        <v>19</v>
      </c>
      <c r="O34" s="13" t="s">
        <v>194</v>
      </c>
      <c r="P34" s="8" t="s">
        <v>189</v>
      </c>
    </row>
    <row r="35" spans="1:16" ht="37.5" customHeight="1" x14ac:dyDescent="0.2">
      <c r="A35" s="3">
        <v>1600000</v>
      </c>
      <c r="B35" s="4" t="s">
        <v>181</v>
      </c>
      <c r="C35" s="5">
        <v>530</v>
      </c>
      <c r="D35" s="46" t="str">
        <f>IF(C35&lt;=0,"",VLOOKUP(C35,[5]FF!A:D,2,0))</f>
        <v>PARTICIPACIONES Ramo 28</v>
      </c>
      <c r="E35" s="5">
        <v>1601000</v>
      </c>
      <c r="F35" s="5" t="s">
        <v>22</v>
      </c>
      <c r="G35" s="8">
        <v>352001</v>
      </c>
      <c r="H35" s="45" t="s">
        <v>221</v>
      </c>
      <c r="I35" s="12">
        <v>22543</v>
      </c>
      <c r="J35" s="12">
        <v>47501</v>
      </c>
      <c r="K35" s="12">
        <v>14352</v>
      </c>
      <c r="L35" s="12">
        <v>15231</v>
      </c>
      <c r="M35" s="11">
        <f>SUM(Tabla114[[#This Row],[TRIMESTRE  I]:[TRIMESTRE IV]])</f>
        <v>99627</v>
      </c>
      <c r="N35" s="12" t="s">
        <v>19</v>
      </c>
      <c r="O35" s="13" t="s">
        <v>194</v>
      </c>
      <c r="P35" s="8" t="s">
        <v>189</v>
      </c>
    </row>
    <row r="36" spans="1:16" ht="37.5" customHeight="1" x14ac:dyDescent="0.2">
      <c r="A36" s="3">
        <v>1600000</v>
      </c>
      <c r="B36" s="4" t="s">
        <v>181</v>
      </c>
      <c r="C36" s="5">
        <v>530</v>
      </c>
      <c r="D36" s="46" t="str">
        <f>IF(C36&lt;=0,"",VLOOKUP(C36,[5]FF!A:D,2,0))</f>
        <v>PARTICIPACIONES Ramo 28</v>
      </c>
      <c r="E36" s="5">
        <v>1601000</v>
      </c>
      <c r="F36" s="5" t="s">
        <v>22</v>
      </c>
      <c r="G36" s="8">
        <v>352002</v>
      </c>
      <c r="H36" s="45" t="s">
        <v>222</v>
      </c>
      <c r="I36" s="12">
        <v>4508</v>
      </c>
      <c r="J36" s="12">
        <v>4765</v>
      </c>
      <c r="K36" s="12">
        <v>1597</v>
      </c>
      <c r="L36" s="12">
        <v>1948</v>
      </c>
      <c r="M36" s="11">
        <f>SUM(Tabla114[[#This Row],[TRIMESTRE  I]:[TRIMESTRE IV]])</f>
        <v>12818</v>
      </c>
      <c r="N36" s="12" t="s">
        <v>19</v>
      </c>
      <c r="O36" s="13" t="s">
        <v>194</v>
      </c>
      <c r="P36" s="8" t="s">
        <v>189</v>
      </c>
    </row>
    <row r="37" spans="1:16" ht="37.5" customHeight="1" x14ac:dyDescent="0.2">
      <c r="A37" s="3">
        <v>1600000</v>
      </c>
      <c r="B37" s="4" t="s">
        <v>181</v>
      </c>
      <c r="C37" s="5">
        <v>530</v>
      </c>
      <c r="D37" s="46" t="str">
        <f>IF(C37&lt;=0,"",VLOOKUP(C37,[5]FF!A:D,2,0))</f>
        <v>PARTICIPACIONES Ramo 28</v>
      </c>
      <c r="E37" s="5">
        <v>1601000</v>
      </c>
      <c r="F37" s="5" t="s">
        <v>22</v>
      </c>
      <c r="G37" s="8">
        <v>355001</v>
      </c>
      <c r="H37" s="45" t="s">
        <v>223</v>
      </c>
      <c r="I37" s="12">
        <v>184189</v>
      </c>
      <c r="J37" s="12">
        <v>346823</v>
      </c>
      <c r="K37" s="12">
        <v>219622</v>
      </c>
      <c r="L37" s="12">
        <v>185491</v>
      </c>
      <c r="M37" s="11">
        <f>SUM(Tabla114[[#This Row],[TRIMESTRE  I]:[TRIMESTRE IV]])</f>
        <v>936125</v>
      </c>
      <c r="N37" s="12" t="s">
        <v>20</v>
      </c>
      <c r="O37" s="13" t="s">
        <v>194</v>
      </c>
      <c r="P37" s="8" t="s">
        <v>186</v>
      </c>
    </row>
    <row r="38" spans="1:16" ht="37.5" customHeight="1" x14ac:dyDescent="0.2">
      <c r="A38" s="3">
        <v>1600000</v>
      </c>
      <c r="B38" s="4" t="s">
        <v>181</v>
      </c>
      <c r="C38" s="5">
        <v>530</v>
      </c>
      <c r="D38" s="46" t="str">
        <f>IF(C38&lt;=0,"",VLOOKUP(C38,[5]FF!A:D,2,0))</f>
        <v>PARTICIPACIONES Ramo 28</v>
      </c>
      <c r="E38" s="5">
        <v>1601000</v>
      </c>
      <c r="F38" s="5" t="s">
        <v>22</v>
      </c>
      <c r="G38" s="8">
        <v>358001</v>
      </c>
      <c r="H38" s="45" t="s">
        <v>224</v>
      </c>
      <c r="I38" s="12">
        <v>3113</v>
      </c>
      <c r="J38" s="12">
        <v>5736</v>
      </c>
      <c r="K38" s="12">
        <v>2610</v>
      </c>
      <c r="L38" s="12">
        <v>2990</v>
      </c>
      <c r="M38" s="11">
        <f>SUM(Tabla114[[#This Row],[TRIMESTRE  I]:[TRIMESTRE IV]])</f>
        <v>14449</v>
      </c>
      <c r="N38" s="12" t="s">
        <v>19</v>
      </c>
      <c r="O38" s="13" t="s">
        <v>194</v>
      </c>
      <c r="P38" s="8" t="s">
        <v>189</v>
      </c>
    </row>
    <row r="39" spans="1:16" ht="37.5" customHeight="1" x14ac:dyDescent="0.2">
      <c r="A39" s="3">
        <v>1600000</v>
      </c>
      <c r="B39" s="4" t="s">
        <v>181</v>
      </c>
      <c r="C39" s="5">
        <v>530</v>
      </c>
      <c r="D39" s="46" t="str">
        <f>IF(C39&lt;=0,"",VLOOKUP(C39,[5]FF!A:D,2,0))</f>
        <v>PARTICIPACIONES Ramo 28</v>
      </c>
      <c r="E39" s="5">
        <v>1601000</v>
      </c>
      <c r="F39" s="5" t="s">
        <v>22</v>
      </c>
      <c r="G39" s="8">
        <v>358002</v>
      </c>
      <c r="H39" s="45" t="s">
        <v>225</v>
      </c>
      <c r="I39" s="12">
        <v>3614</v>
      </c>
      <c r="J39" s="12">
        <v>7947</v>
      </c>
      <c r="K39" s="12">
        <v>2701</v>
      </c>
      <c r="L39" s="12">
        <v>1337</v>
      </c>
      <c r="M39" s="11">
        <f>SUM(Tabla114[[#This Row],[TRIMESTRE  I]:[TRIMESTRE IV]])</f>
        <v>15599</v>
      </c>
      <c r="N39" s="12" t="s">
        <v>19</v>
      </c>
      <c r="O39" s="13" t="s">
        <v>192</v>
      </c>
      <c r="P39" s="8" t="s">
        <v>189</v>
      </c>
    </row>
    <row r="40" spans="1:16" ht="37.5" customHeight="1" x14ac:dyDescent="0.2">
      <c r="A40" s="3">
        <v>1600000</v>
      </c>
      <c r="B40" s="4" t="s">
        <v>181</v>
      </c>
      <c r="C40" s="5">
        <v>530</v>
      </c>
      <c r="D40" s="46" t="str">
        <f>IF(C40&lt;=0,"",VLOOKUP(C40,[5]FF!A:D,2,0))</f>
        <v>PARTICIPACIONES Ramo 28</v>
      </c>
      <c r="E40" s="5">
        <v>1601000</v>
      </c>
      <c r="F40" s="5" t="s">
        <v>22</v>
      </c>
      <c r="G40" s="8">
        <v>359001</v>
      </c>
      <c r="H40" s="45" t="s">
        <v>226</v>
      </c>
      <c r="I40" s="12">
        <v>1231</v>
      </c>
      <c r="J40" s="12">
        <v>1810</v>
      </c>
      <c r="K40" s="12">
        <v>0</v>
      </c>
      <c r="L40" s="12">
        <v>0</v>
      </c>
      <c r="M40" s="11">
        <f>SUM(Tabla114[[#This Row],[TRIMESTRE  I]:[TRIMESTRE IV]])</f>
        <v>3041</v>
      </c>
      <c r="N40" s="12" t="s">
        <v>19</v>
      </c>
      <c r="O40" s="13" t="s">
        <v>192</v>
      </c>
      <c r="P40" s="8" t="s">
        <v>189</v>
      </c>
    </row>
    <row r="41" spans="1:16" ht="37.5" customHeight="1" x14ac:dyDescent="0.2">
      <c r="A41" s="3">
        <v>1600000</v>
      </c>
      <c r="B41" s="4" t="s">
        <v>181</v>
      </c>
      <c r="C41" s="5">
        <v>530</v>
      </c>
      <c r="D41" s="46" t="str">
        <f>IF(C41&lt;=0,"",VLOOKUP(C41,[5]FF!A:D,2,0))</f>
        <v>PARTICIPACIONES Ramo 28</v>
      </c>
      <c r="E41" s="5">
        <v>1601000</v>
      </c>
      <c r="F41" s="5" t="s">
        <v>22</v>
      </c>
      <c r="G41" s="8">
        <v>361002</v>
      </c>
      <c r="H41" s="45" t="s">
        <v>227</v>
      </c>
      <c r="I41" s="12">
        <v>44479</v>
      </c>
      <c r="J41" s="12">
        <v>80985</v>
      </c>
      <c r="K41" s="12">
        <v>22317</v>
      </c>
      <c r="L41" s="12">
        <v>26757</v>
      </c>
      <c r="M41" s="11">
        <f>SUM(Tabla114[[#This Row],[TRIMESTRE  I]:[TRIMESTRE IV]])</f>
        <v>174538</v>
      </c>
      <c r="N41" s="12" t="s">
        <v>19</v>
      </c>
      <c r="O41" s="13" t="s">
        <v>194</v>
      </c>
      <c r="P41" s="8" t="s">
        <v>189</v>
      </c>
    </row>
    <row r="42" spans="1:16" ht="37.5" customHeight="1" x14ac:dyDescent="0.2">
      <c r="A42" s="3">
        <v>1600000</v>
      </c>
      <c r="B42" s="4" t="s">
        <v>181</v>
      </c>
      <c r="C42" s="5">
        <v>530</v>
      </c>
      <c r="D42" s="46" t="str">
        <f>IF(C42&lt;=0,"",VLOOKUP(C42,[5]FF!A:D,2,0))</f>
        <v>PARTICIPACIONES Ramo 28</v>
      </c>
      <c r="E42" s="5">
        <v>1601000</v>
      </c>
      <c r="F42" s="5" t="s">
        <v>22</v>
      </c>
      <c r="G42" s="8">
        <v>361003</v>
      </c>
      <c r="H42" s="45" t="s">
        <v>228</v>
      </c>
      <c r="I42" s="12">
        <v>11140</v>
      </c>
      <c r="J42" s="12">
        <v>17444</v>
      </c>
      <c r="K42" s="12">
        <v>6326</v>
      </c>
      <c r="L42" s="12">
        <v>6650</v>
      </c>
      <c r="M42" s="11">
        <f>SUM(Tabla114[[#This Row],[TRIMESTRE  I]:[TRIMESTRE IV]])</f>
        <v>41560</v>
      </c>
      <c r="N42" s="12" t="s">
        <v>19</v>
      </c>
      <c r="O42" s="13" t="s">
        <v>185</v>
      </c>
      <c r="P42" s="8" t="s">
        <v>189</v>
      </c>
    </row>
    <row r="43" spans="1:16" ht="37.5" customHeight="1" x14ac:dyDescent="0.2">
      <c r="A43" s="3">
        <v>1600000</v>
      </c>
      <c r="B43" s="4" t="s">
        <v>181</v>
      </c>
      <c r="C43" s="5">
        <v>530</v>
      </c>
      <c r="D43" s="46" t="str">
        <f>IF(C43&lt;=0,"",VLOOKUP(C43,[5]FF!A:D,2,0))</f>
        <v>PARTICIPACIONES Ramo 28</v>
      </c>
      <c r="E43" s="5">
        <v>1601000</v>
      </c>
      <c r="F43" s="5" t="s">
        <v>22</v>
      </c>
      <c r="G43" s="8">
        <v>371001</v>
      </c>
      <c r="H43" s="45" t="s">
        <v>229</v>
      </c>
      <c r="I43" s="12">
        <v>105058</v>
      </c>
      <c r="J43" s="12">
        <v>188676</v>
      </c>
      <c r="K43" s="12">
        <v>97916</v>
      </c>
      <c r="L43" s="12">
        <v>63892</v>
      </c>
      <c r="M43" s="11">
        <f>SUM(Tabla114[[#This Row],[TRIMESTRE  I]:[TRIMESTRE IV]])</f>
        <v>455542</v>
      </c>
      <c r="N43" s="12" t="s">
        <v>17</v>
      </c>
      <c r="O43" s="13" t="s">
        <v>192</v>
      </c>
      <c r="P43" s="8" t="s">
        <v>37</v>
      </c>
    </row>
    <row r="44" spans="1:16" ht="37.5" customHeight="1" x14ac:dyDescent="0.2">
      <c r="A44" s="3">
        <v>1600000</v>
      </c>
      <c r="B44" s="4" t="s">
        <v>181</v>
      </c>
      <c r="C44" s="5">
        <v>530</v>
      </c>
      <c r="D44" s="46" t="str">
        <f>IF(C44&lt;=0,"",VLOOKUP(C44,[5]FF!A:D,2,0))</f>
        <v>PARTICIPACIONES Ramo 28</v>
      </c>
      <c r="E44" s="5">
        <v>1601000</v>
      </c>
      <c r="F44" s="5" t="s">
        <v>22</v>
      </c>
      <c r="G44" s="8">
        <v>375001</v>
      </c>
      <c r="H44" s="45" t="s">
        <v>230</v>
      </c>
      <c r="I44" s="12">
        <v>221389</v>
      </c>
      <c r="J44" s="12">
        <v>411806</v>
      </c>
      <c r="K44" s="12">
        <v>267971</v>
      </c>
      <c r="L44" s="12">
        <v>230019</v>
      </c>
      <c r="M44" s="11">
        <f>SUM(Tabla114[[#This Row],[TRIMESTRE  I]:[TRIMESTRE IV]])</f>
        <v>1131185</v>
      </c>
      <c r="N44" s="12" t="s">
        <v>19</v>
      </c>
      <c r="O44" s="13" t="s">
        <v>192</v>
      </c>
      <c r="P44" s="8" t="s">
        <v>189</v>
      </c>
    </row>
    <row r="45" spans="1:16" ht="37.5" customHeight="1" x14ac:dyDescent="0.2">
      <c r="A45" s="3">
        <v>1600000</v>
      </c>
      <c r="B45" s="4" t="s">
        <v>181</v>
      </c>
      <c r="C45" s="5">
        <v>530</v>
      </c>
      <c r="D45" s="46" t="str">
        <f>IF(C45&lt;=0,"",VLOOKUP(C45,[5]FF!A:D,2,0))</f>
        <v>PARTICIPACIONES Ramo 28</v>
      </c>
      <c r="E45" s="5">
        <v>1601000</v>
      </c>
      <c r="F45" s="5" t="s">
        <v>22</v>
      </c>
      <c r="G45" s="8">
        <v>382002</v>
      </c>
      <c r="H45" s="45" t="s">
        <v>231</v>
      </c>
      <c r="I45" s="12">
        <v>49188</v>
      </c>
      <c r="J45" s="12">
        <v>110613</v>
      </c>
      <c r="K45" s="12">
        <v>49190</v>
      </c>
      <c r="L45" s="12">
        <v>41692</v>
      </c>
      <c r="M45" s="11">
        <f>SUM(Tabla114[[#This Row],[TRIMESTRE  I]:[TRIMESTRE IV]])</f>
        <v>250683</v>
      </c>
      <c r="N45" s="12" t="s">
        <v>19</v>
      </c>
      <c r="O45" s="13" t="s">
        <v>194</v>
      </c>
      <c r="P45" s="8" t="s">
        <v>189</v>
      </c>
    </row>
    <row r="46" spans="1:16" ht="37.5" customHeight="1" x14ac:dyDescent="0.2">
      <c r="A46" s="3">
        <v>1600000</v>
      </c>
      <c r="B46" s="4" t="s">
        <v>181</v>
      </c>
      <c r="C46" s="5">
        <v>530</v>
      </c>
      <c r="D46" s="46" t="str">
        <f>IF(C46&lt;=0,"",VLOOKUP(C46,[5]FF!A:D,2,0))</f>
        <v>PARTICIPACIONES Ramo 28</v>
      </c>
      <c r="E46" s="5">
        <v>1601000</v>
      </c>
      <c r="F46" s="5" t="s">
        <v>22</v>
      </c>
      <c r="G46" s="8">
        <v>383001</v>
      </c>
      <c r="H46" s="45" t="s">
        <v>232</v>
      </c>
      <c r="I46" s="12">
        <v>17060</v>
      </c>
      <c r="J46" s="12">
        <v>35578</v>
      </c>
      <c r="K46" s="12">
        <v>12359</v>
      </c>
      <c r="L46" s="12">
        <v>23434</v>
      </c>
      <c r="M46" s="11">
        <f>SUM(Tabla114[[#This Row],[TRIMESTRE  I]:[TRIMESTRE IV]])</f>
        <v>88431</v>
      </c>
      <c r="N46" s="12" t="s">
        <v>19</v>
      </c>
      <c r="O46" s="13" t="s">
        <v>233</v>
      </c>
      <c r="P46" s="8" t="s">
        <v>189</v>
      </c>
    </row>
    <row r="47" spans="1:16" ht="37.5" customHeight="1" x14ac:dyDescent="0.2">
      <c r="A47" s="3">
        <v>1600000</v>
      </c>
      <c r="B47" s="4" t="s">
        <v>181</v>
      </c>
      <c r="C47" s="5">
        <v>530</v>
      </c>
      <c r="D47" s="46" t="str">
        <f>IF(C47&lt;=0,"",VLOOKUP(C47,[5]FF!A:D,2,0))</f>
        <v>PARTICIPACIONES Ramo 28</v>
      </c>
      <c r="E47" s="5">
        <v>1601000</v>
      </c>
      <c r="F47" s="5" t="s">
        <v>22</v>
      </c>
      <c r="G47" s="8">
        <v>392001</v>
      </c>
      <c r="H47" s="45" t="s">
        <v>234</v>
      </c>
      <c r="I47" s="12">
        <v>6562</v>
      </c>
      <c r="J47" s="12">
        <v>20185</v>
      </c>
      <c r="K47" s="12">
        <v>2350</v>
      </c>
      <c r="L47" s="12">
        <v>2067</v>
      </c>
      <c r="M47" s="11">
        <f>SUM(Tabla114[[#This Row],[TRIMESTRE  I]:[TRIMESTRE IV]])</f>
        <v>31164</v>
      </c>
      <c r="N47" s="12" t="s">
        <v>19</v>
      </c>
      <c r="O47" s="13" t="s">
        <v>194</v>
      </c>
      <c r="P47" s="8" t="s">
        <v>189</v>
      </c>
    </row>
    <row r="48" spans="1:16" ht="37.5" customHeight="1" x14ac:dyDescent="0.2">
      <c r="A48" s="3">
        <v>1600000</v>
      </c>
      <c r="B48" s="4" t="s">
        <v>181</v>
      </c>
      <c r="C48" s="5">
        <v>530</v>
      </c>
      <c r="D48" s="46" t="str">
        <f>IF(C48&lt;=0,"",VLOOKUP(C48,[5]FF!A:D,2,0))</f>
        <v>PARTICIPACIONES Ramo 28</v>
      </c>
      <c r="E48" s="5">
        <v>1601000</v>
      </c>
      <c r="F48" s="5" t="s">
        <v>22</v>
      </c>
      <c r="G48" s="8">
        <v>399001</v>
      </c>
      <c r="H48" s="45" t="s">
        <v>235</v>
      </c>
      <c r="I48" s="12">
        <v>10206</v>
      </c>
      <c r="J48" s="12">
        <v>16485</v>
      </c>
      <c r="K48" s="12">
        <v>7139</v>
      </c>
      <c r="L48" s="12">
        <v>6830</v>
      </c>
      <c r="M48" s="11">
        <f>SUM(Tabla114[[#This Row],[TRIMESTRE  I]:[TRIMESTRE IV]])</f>
        <v>40660</v>
      </c>
      <c r="N48" s="12" t="s">
        <v>19</v>
      </c>
      <c r="O48" s="13" t="s">
        <v>192</v>
      </c>
      <c r="P48" s="8" t="s">
        <v>189</v>
      </c>
    </row>
    <row r="49" spans="1:16" ht="37.5" customHeight="1" thickBot="1" x14ac:dyDescent="0.25">
      <c r="A49" s="97"/>
      <c r="B49" s="98"/>
      <c r="C49" s="99"/>
      <c r="D49" s="100" t="str">
        <f>IF(C49&lt;=0,"",VLOOKUP(C49,[5]FF!A:D,2,0))</f>
        <v/>
      </c>
      <c r="E49" s="99"/>
      <c r="F49" s="99"/>
      <c r="G49" s="101"/>
      <c r="H49" s="102" t="str">
        <f>IF(G49&lt;=0,"",VLOOKUP(G49,[5]COG!A:H,2,0))</f>
        <v/>
      </c>
      <c r="I49" s="103">
        <f>SUBTOTAL(109,I5:I48)</f>
        <v>2107940</v>
      </c>
      <c r="J49" s="103">
        <f>SUBTOTAL(109,J5:J48)</f>
        <v>3801628</v>
      </c>
      <c r="K49" s="104">
        <f>SUBTOTAL(109,K5:K48)</f>
        <v>2591833</v>
      </c>
      <c r="L49" s="103">
        <f>SUBTOTAL(109,L5:L48)</f>
        <v>2067977</v>
      </c>
      <c r="M49" s="105">
        <f>SUM(Tabla114[[#This Row],[TRIMESTRE  I]:[TRIMESTRE IV]])</f>
        <v>10569378</v>
      </c>
      <c r="N49" s="103"/>
      <c r="O49" s="103"/>
      <c r="P49" s="101"/>
    </row>
    <row r="50" spans="1:16" ht="37.5" customHeight="1" thickTop="1" x14ac:dyDescent="0.2">
      <c r="A50" s="64"/>
      <c r="B50" s="65"/>
      <c r="C50" s="66"/>
      <c r="D50" s="75" t="str">
        <f>IF(C50&lt;=0,"",VLOOKUP(C50,[5]FF!A:D,2,0))</f>
        <v/>
      </c>
      <c r="E50" s="66"/>
      <c r="F50" s="67"/>
      <c r="G50" s="68"/>
      <c r="H50" s="87" t="str">
        <f>IF(G50&lt;=0,"",VLOOKUP(G50,[5]COG!A:H,2,0))</f>
        <v/>
      </c>
      <c r="I50" s="90"/>
      <c r="J50" s="90"/>
      <c r="K50" s="90"/>
      <c r="L50" s="90"/>
      <c r="M50" s="77"/>
      <c r="N50" s="69"/>
      <c r="O50" s="69"/>
      <c r="P50" s="68"/>
    </row>
    <row r="51" spans="1:16" ht="37.5" customHeight="1" x14ac:dyDescent="0.2">
      <c r="A51" s="64"/>
      <c r="B51" s="65"/>
      <c r="C51" s="66"/>
      <c r="D51" s="75"/>
      <c r="E51" s="66"/>
      <c r="F51" s="67"/>
      <c r="G51" s="68"/>
      <c r="H51" s="78"/>
      <c r="I51" s="90"/>
      <c r="J51" s="90"/>
      <c r="K51" s="90"/>
      <c r="L51" s="90"/>
      <c r="M51" s="77"/>
      <c r="N51" s="69"/>
      <c r="O51" s="69"/>
      <c r="P51" s="68"/>
    </row>
    <row r="52" spans="1:16" ht="37.5" customHeight="1" x14ac:dyDescent="0.2">
      <c r="A52" s="64"/>
      <c r="B52" s="65"/>
      <c r="C52" s="66"/>
      <c r="D52" s="75"/>
      <c r="E52" s="66"/>
      <c r="F52" s="67"/>
      <c r="G52" s="68"/>
      <c r="H52" s="87"/>
      <c r="I52" s="90"/>
      <c r="J52" s="90"/>
      <c r="K52" s="90"/>
      <c r="L52" s="90"/>
      <c r="M52" s="77"/>
      <c r="N52" s="69"/>
      <c r="O52" s="69"/>
      <c r="P52" s="68"/>
    </row>
    <row r="53" spans="1:16" ht="37.5" customHeight="1" x14ac:dyDescent="0.2">
      <c r="A53" s="64"/>
      <c r="B53" s="106"/>
      <c r="C53" s="107"/>
      <c r="D53" s="75"/>
      <c r="E53" s="66"/>
      <c r="F53" s="67"/>
      <c r="G53" s="68"/>
      <c r="H53" s="78"/>
      <c r="I53" s="90"/>
      <c r="J53" s="90"/>
      <c r="K53" s="90"/>
      <c r="L53" s="90"/>
      <c r="M53" s="77"/>
      <c r="N53" s="69"/>
      <c r="O53" s="69"/>
      <c r="P53" s="68"/>
    </row>
    <row r="54" spans="1:16" ht="37.5" customHeight="1" x14ac:dyDescent="0.2">
      <c r="A54" s="64"/>
      <c r="B54" s="65"/>
      <c r="C54" s="66"/>
      <c r="D54" s="75" t="str">
        <f>IF(C54&lt;=0,"",VLOOKUP(C54,[5]FF!A:D,2,0))</f>
        <v/>
      </c>
      <c r="E54" s="66"/>
      <c r="F54" s="67"/>
      <c r="G54" s="68"/>
      <c r="H54" s="87" t="str">
        <f>IF(G54&lt;=0,"",VLOOKUP(G54,[5]COG!A:H,2,0))</f>
        <v/>
      </c>
      <c r="I54" s="90"/>
      <c r="J54" s="90"/>
      <c r="K54" s="90"/>
      <c r="L54" s="90"/>
      <c r="M54" s="77"/>
      <c r="N54" s="69"/>
      <c r="O54" s="69"/>
      <c r="P54" s="68"/>
    </row>
    <row r="55" spans="1:16" ht="37.5" customHeight="1" x14ac:dyDescent="0.2">
      <c r="A55" s="64"/>
      <c r="B55" s="65"/>
      <c r="C55" s="66"/>
      <c r="D55" s="75" t="str">
        <f>IF(C55&lt;=0,"",VLOOKUP(C55,[5]FF!A:D,2,0))</f>
        <v/>
      </c>
      <c r="E55" s="66"/>
      <c r="F55" s="67"/>
      <c r="G55" s="68"/>
      <c r="H55" s="87" t="str">
        <f>IF(G55&lt;=0,"",VLOOKUP(G55,[5]COG!A:H,2,0))</f>
        <v/>
      </c>
      <c r="I55" s="90"/>
      <c r="J55" s="90"/>
      <c r="K55" s="90"/>
      <c r="L55" s="90"/>
      <c r="M55" s="77"/>
      <c r="N55" s="69"/>
      <c r="O55" s="69"/>
      <c r="P55" s="68"/>
    </row>
    <row r="56" spans="1:16" ht="37.5" customHeight="1" x14ac:dyDescent="0.2">
      <c r="A56" s="64"/>
      <c r="B56" s="65"/>
      <c r="C56" s="66"/>
      <c r="D56" s="75" t="str">
        <f>IF(C56&lt;=0,"",VLOOKUP(C56,[5]FF!A:D,2,0))</f>
        <v/>
      </c>
      <c r="E56" s="66"/>
      <c r="F56" s="67"/>
      <c r="G56" s="68"/>
      <c r="H56" s="87" t="str">
        <f>IF(G56&lt;=0,"",VLOOKUP(G56,[5]COG!A:H,2,0))</f>
        <v/>
      </c>
      <c r="I56" s="90"/>
      <c r="J56" s="90"/>
      <c r="K56" s="90"/>
      <c r="L56" s="90"/>
      <c r="M56" s="77"/>
      <c r="N56" s="69"/>
      <c r="O56" s="69"/>
      <c r="P56" s="68"/>
    </row>
    <row r="57" spans="1:16" ht="37.5" customHeight="1" x14ac:dyDescent="0.2">
      <c r="A57" s="64"/>
      <c r="B57" s="65"/>
      <c r="C57" s="66"/>
      <c r="D57" s="75" t="str">
        <f>IF(C57&lt;=0,"",VLOOKUP(C57,[5]FF!A:D,2,0))</f>
        <v/>
      </c>
      <c r="E57" s="66"/>
      <c r="F57" s="67"/>
      <c r="G57" s="68"/>
      <c r="H57" s="87" t="str">
        <f>IF(G57&lt;=0,"",VLOOKUP(G57,[5]COG!A:H,2,0))</f>
        <v/>
      </c>
      <c r="I57" s="90"/>
      <c r="J57" s="90"/>
      <c r="K57" s="90"/>
      <c r="L57" s="90"/>
      <c r="M57" s="77"/>
      <c r="N57" s="69"/>
      <c r="O57" s="69"/>
      <c r="P57" s="68"/>
    </row>
    <row r="58" spans="1:16" ht="37.5" customHeight="1" x14ac:dyDescent="0.2">
      <c r="A58" s="64"/>
      <c r="B58" s="65"/>
      <c r="C58" s="66"/>
      <c r="D58" s="75" t="str">
        <f>IF(C58&lt;=0,"",VLOOKUP(C58,[5]FF!A:D,2,0))</f>
        <v/>
      </c>
      <c r="E58" s="66"/>
      <c r="F58" s="67"/>
      <c r="G58" s="68"/>
      <c r="H58" s="87" t="str">
        <f>IF(G58&lt;=0,"",VLOOKUP(G58,[5]COG!A:H,2,0))</f>
        <v/>
      </c>
      <c r="I58" s="90"/>
      <c r="J58" s="90"/>
      <c r="K58" s="90"/>
      <c r="L58" s="90"/>
      <c r="M58" s="77"/>
      <c r="N58" s="69"/>
      <c r="O58" s="69"/>
      <c r="P58" s="68"/>
    </row>
    <row r="59" spans="1:16" ht="37.5" customHeight="1" x14ac:dyDescent="0.2">
      <c r="A59" s="64"/>
      <c r="B59" s="65"/>
      <c r="C59" s="66"/>
      <c r="D59" s="75" t="str">
        <f>IF(C59&lt;=0,"",VLOOKUP(C59,[5]FF!A:D,2,0))</f>
        <v/>
      </c>
      <c r="E59" s="66"/>
      <c r="F59" s="67"/>
      <c r="G59" s="68"/>
      <c r="H59" s="87" t="str">
        <f>IF(G59&lt;=0,"",VLOOKUP(G59,[5]COG!A:H,2,0))</f>
        <v/>
      </c>
      <c r="I59" s="90"/>
      <c r="J59" s="90"/>
      <c r="K59" s="90"/>
      <c r="L59" s="90"/>
      <c r="M59" s="77"/>
      <c r="N59" s="69"/>
      <c r="O59" s="69"/>
      <c r="P59" s="68"/>
    </row>
    <row r="60" spans="1:16" ht="37.5" customHeight="1" x14ac:dyDescent="0.2">
      <c r="A60" s="64"/>
      <c r="B60" s="65"/>
      <c r="C60" s="66"/>
      <c r="D60" s="75" t="str">
        <f>IF(C60&lt;=0,"",VLOOKUP(C60,[5]FF!A:D,2,0))</f>
        <v/>
      </c>
      <c r="E60" s="66"/>
      <c r="F60" s="67"/>
      <c r="G60" s="68"/>
      <c r="H60" s="87" t="str">
        <f>IF(G60&lt;=0,"",VLOOKUP(G60,[5]COG!A:H,2,0))</f>
        <v/>
      </c>
      <c r="I60" s="90"/>
      <c r="J60" s="90"/>
      <c r="K60" s="90"/>
      <c r="L60" s="90"/>
      <c r="M60" s="77"/>
      <c r="N60" s="69"/>
      <c r="O60" s="69"/>
      <c r="P60" s="68"/>
    </row>
    <row r="61" spans="1:16" ht="37.5" customHeight="1" x14ac:dyDescent="0.2">
      <c r="A61" s="64"/>
      <c r="B61" s="65"/>
      <c r="C61" s="66"/>
      <c r="D61" s="75" t="str">
        <f>IF(C61&lt;=0,"",VLOOKUP(C61,[5]FF!A:D,2,0))</f>
        <v/>
      </c>
      <c r="E61" s="66"/>
      <c r="F61" s="67"/>
      <c r="G61" s="68"/>
      <c r="H61" s="87" t="str">
        <f>IF(G61&lt;=0,"",VLOOKUP(G61,[5]COG!A:H,2,0))</f>
        <v/>
      </c>
      <c r="I61" s="90"/>
      <c r="J61" s="90"/>
      <c r="K61" s="90"/>
      <c r="L61" s="90"/>
      <c r="M61" s="77"/>
      <c r="N61" s="69"/>
      <c r="O61" s="69"/>
      <c r="P61" s="68"/>
    </row>
    <row r="62" spans="1:16" ht="37.5" customHeight="1" x14ac:dyDescent="0.2">
      <c r="A62" s="64"/>
      <c r="B62" s="65"/>
      <c r="C62" s="66"/>
      <c r="D62" s="75" t="str">
        <f>IF(C62&lt;=0,"",VLOOKUP(C62,[5]FF!A:D,2,0))</f>
        <v/>
      </c>
      <c r="E62" s="66"/>
      <c r="F62" s="67"/>
      <c r="G62" s="68"/>
      <c r="H62" s="87" t="str">
        <f>IF(G62&lt;=0,"",VLOOKUP(G62,[5]COG!A:H,2,0))</f>
        <v/>
      </c>
      <c r="I62" s="90"/>
      <c r="J62" s="90"/>
      <c r="K62" s="90"/>
      <c r="L62" s="90"/>
      <c r="M62" s="77"/>
      <c r="N62" s="69"/>
      <c r="O62" s="69"/>
      <c r="P62" s="68"/>
    </row>
    <row r="63" spans="1:16" ht="37.5" customHeight="1" x14ac:dyDescent="0.2">
      <c r="A63" s="3"/>
      <c r="B63" s="4"/>
      <c r="C63" s="5"/>
      <c r="D63" s="6" t="str">
        <f>IF(C63&lt;=0,"",VLOOKUP(C63,[5]FF!A:D,2,0))</f>
        <v/>
      </c>
      <c r="E63" s="5"/>
      <c r="F63" s="7"/>
      <c r="G63" s="8"/>
      <c r="H63" s="9" t="str">
        <f>IF(G63&lt;=0,"",VLOOKUP(G63,[5]COG!A:H,2,0))</f>
        <v/>
      </c>
      <c r="I63" s="10"/>
      <c r="J63" s="10"/>
      <c r="K63" s="10"/>
      <c r="L63" s="10"/>
      <c r="M63" s="11"/>
      <c r="N63" s="12"/>
      <c r="O63" s="12"/>
      <c r="P63" s="8"/>
    </row>
    <row r="64" spans="1:16" ht="37.5" customHeight="1" x14ac:dyDescent="0.2">
      <c r="A64" s="3"/>
      <c r="B64" s="4"/>
      <c r="C64" s="5"/>
      <c r="D64" s="6" t="str">
        <f>IF(C64&lt;=0,"",VLOOKUP(C64,[5]FF!A:D,2,0))</f>
        <v/>
      </c>
      <c r="E64" s="5"/>
      <c r="F64" s="7"/>
      <c r="G64" s="8"/>
      <c r="H64" s="9" t="str">
        <f>IF(G64&lt;=0,"",VLOOKUP(G64,[5]COG!A:H,2,0))</f>
        <v/>
      </c>
      <c r="I64" s="10"/>
      <c r="J64" s="10"/>
      <c r="K64" s="10"/>
      <c r="L64" s="10"/>
      <c r="M64" s="11"/>
      <c r="N64" s="12"/>
      <c r="O64" s="12"/>
      <c r="P64" s="8"/>
    </row>
    <row r="65" spans="1:16" ht="37.5" customHeight="1" x14ac:dyDescent="0.2">
      <c r="A65" s="3"/>
      <c r="B65" s="4"/>
      <c r="C65" s="5"/>
      <c r="D65" s="6" t="str">
        <f>IF(C65&lt;=0,"",VLOOKUP(C65,[5]FF!A:D,2,0))</f>
        <v/>
      </c>
      <c r="E65" s="5"/>
      <c r="F65" s="7"/>
      <c r="G65" s="8"/>
      <c r="H65" s="9" t="str">
        <f>IF(G65&lt;=0,"",VLOOKUP(G65,[5]COG!A:H,2,0))</f>
        <v/>
      </c>
      <c r="I65" s="10"/>
      <c r="J65" s="10"/>
      <c r="K65" s="10"/>
      <c r="L65" s="10"/>
      <c r="M65" s="11"/>
      <c r="N65" s="12"/>
      <c r="O65" s="12"/>
      <c r="P65" s="8"/>
    </row>
    <row r="66" spans="1:16" ht="37.5" customHeight="1" x14ac:dyDescent="0.2">
      <c r="A66" s="3"/>
      <c r="B66" s="4"/>
      <c r="C66" s="5"/>
      <c r="D66" s="6" t="str">
        <f>IF(C66&lt;=0,"",VLOOKUP(C66,[5]FF!A:D,2,0))</f>
        <v/>
      </c>
      <c r="E66" s="5"/>
      <c r="F66" s="7"/>
      <c r="G66" s="8"/>
      <c r="H66" s="9" t="str">
        <f>IF(G66&lt;=0,"",VLOOKUP(G66,[5]COG!A:H,2,0))</f>
        <v/>
      </c>
      <c r="I66" s="10"/>
      <c r="J66" s="10"/>
      <c r="K66" s="10"/>
      <c r="L66" s="10"/>
      <c r="M66" s="11"/>
      <c r="N66" s="12"/>
      <c r="O66" s="12"/>
      <c r="P66" s="8"/>
    </row>
    <row r="67" spans="1:16" ht="37.5" customHeight="1" x14ac:dyDescent="0.2">
      <c r="A67" s="3"/>
      <c r="B67" s="4"/>
      <c r="C67" s="5"/>
      <c r="D67" s="6" t="str">
        <f>IF(C67&lt;=0,"",VLOOKUP(C67,[5]FF!A:D,2,0))</f>
        <v/>
      </c>
      <c r="E67" s="5"/>
      <c r="F67" s="7"/>
      <c r="G67" s="8"/>
      <c r="H67" s="9" t="str">
        <f>IF(G67&lt;=0,"",VLOOKUP(G67,[5]COG!A:H,2,0))</f>
        <v/>
      </c>
      <c r="I67" s="10"/>
      <c r="J67" s="10"/>
      <c r="K67" s="10"/>
      <c r="L67" s="10"/>
      <c r="M67" s="11"/>
      <c r="N67" s="12"/>
      <c r="O67" s="12"/>
      <c r="P67" s="8"/>
    </row>
    <row r="68" spans="1:16" ht="37.5" customHeight="1" x14ac:dyDescent="0.2">
      <c r="A68" s="3"/>
      <c r="B68" s="4"/>
      <c r="C68" s="5"/>
      <c r="D68" s="6" t="str">
        <f>IF(C68&lt;=0,"",VLOOKUP(C68,[5]FF!A:D,2,0))</f>
        <v/>
      </c>
      <c r="E68" s="5"/>
      <c r="F68" s="7"/>
      <c r="G68" s="8"/>
      <c r="H68" s="9" t="str">
        <f>IF(G68&lt;=0,"",VLOOKUP(G68,[5]COG!A:H,2,0))</f>
        <v/>
      </c>
      <c r="I68" s="10"/>
      <c r="J68" s="10"/>
      <c r="K68" s="10"/>
      <c r="L68" s="10"/>
      <c r="M68" s="11"/>
      <c r="N68" s="12"/>
      <c r="O68" s="12"/>
      <c r="P68" s="8"/>
    </row>
    <row r="69" spans="1:16" ht="37.5" customHeight="1" x14ac:dyDescent="0.2">
      <c r="A69" s="3"/>
      <c r="B69" s="4"/>
      <c r="C69" s="5"/>
      <c r="D69" s="6" t="str">
        <f>IF(C69&lt;=0,"",VLOOKUP(C69,[5]FF!A:D,2,0))</f>
        <v/>
      </c>
      <c r="E69" s="5"/>
      <c r="F69" s="7"/>
      <c r="G69" s="8"/>
      <c r="H69" s="9" t="str">
        <f>IF(G69&lt;=0,"",VLOOKUP(G69,[5]COG!A:H,2,0))</f>
        <v/>
      </c>
      <c r="I69" s="10"/>
      <c r="J69" s="10"/>
      <c r="K69" s="10"/>
      <c r="L69" s="10"/>
      <c r="M69" s="11"/>
      <c r="N69" s="12"/>
      <c r="O69" s="12"/>
      <c r="P69" s="8"/>
    </row>
    <row r="70" spans="1:16" ht="37.5" customHeight="1" x14ac:dyDescent="0.2">
      <c r="A70" s="3"/>
      <c r="B70" s="4"/>
      <c r="C70" s="5"/>
      <c r="D70" s="6" t="str">
        <f>IF(C70&lt;=0,"",VLOOKUP(C70,[5]FF!A:D,2,0))</f>
        <v/>
      </c>
      <c r="E70" s="5"/>
      <c r="F70" s="7"/>
      <c r="G70" s="8"/>
      <c r="H70" s="9" t="str">
        <f>IF(G70&lt;=0,"",VLOOKUP(G70,[5]COG!A:H,2,0))</f>
        <v/>
      </c>
      <c r="I70" s="10"/>
      <c r="J70" s="10"/>
      <c r="K70" s="10"/>
      <c r="L70" s="10"/>
      <c r="M70" s="11"/>
      <c r="N70" s="12"/>
      <c r="O70" s="12"/>
      <c r="P70" s="8"/>
    </row>
    <row r="71" spans="1:16" ht="37.5" customHeight="1" x14ac:dyDescent="0.2">
      <c r="A71" s="3"/>
      <c r="B71" s="4"/>
      <c r="C71" s="5"/>
      <c r="D71" s="6" t="str">
        <f>IF(C71&lt;=0,"",VLOOKUP(C71,[5]FF!A:D,2,0))</f>
        <v/>
      </c>
      <c r="E71" s="5"/>
      <c r="F71" s="7"/>
      <c r="G71" s="8"/>
      <c r="H71" s="9" t="str">
        <f>IF(G71&lt;=0,"",VLOOKUP(G71,[5]COG!A:H,2,0))</f>
        <v/>
      </c>
      <c r="I71" s="10"/>
      <c r="J71" s="10"/>
      <c r="K71" s="10"/>
      <c r="L71" s="10"/>
      <c r="M71" s="11"/>
      <c r="N71" s="12"/>
      <c r="O71" s="12"/>
      <c r="P71" s="8"/>
    </row>
    <row r="72" spans="1:16" ht="37.5" customHeight="1" x14ac:dyDescent="0.2">
      <c r="A72" s="3"/>
      <c r="B72" s="4"/>
      <c r="C72" s="5"/>
      <c r="D72" s="6" t="str">
        <f>IF(C72&lt;=0,"",VLOOKUP(C72,[5]FF!A:D,2,0))</f>
        <v/>
      </c>
      <c r="E72" s="5"/>
      <c r="F72" s="7"/>
      <c r="G72" s="8"/>
      <c r="H72" s="9" t="str">
        <f>IF(G72&lt;=0,"",VLOOKUP(G72,[5]COG!A:H,2,0))</f>
        <v/>
      </c>
      <c r="I72" s="10"/>
      <c r="J72" s="10"/>
      <c r="K72" s="10"/>
      <c r="L72" s="10"/>
      <c r="M72" s="11"/>
      <c r="N72" s="12"/>
      <c r="O72" s="12"/>
      <c r="P72" s="8"/>
    </row>
    <row r="73" spans="1:16" ht="37.5" customHeight="1" x14ac:dyDescent="0.2">
      <c r="A73" s="3"/>
      <c r="B73" s="4"/>
      <c r="C73" s="5"/>
      <c r="D73" s="6" t="str">
        <f>IF(C73&lt;=0,"",VLOOKUP(C73,[5]FF!A:D,2,0))</f>
        <v/>
      </c>
      <c r="E73" s="5"/>
      <c r="F73" s="7"/>
      <c r="G73" s="8"/>
      <c r="H73" s="9" t="str">
        <f>IF(G73&lt;=0,"",VLOOKUP(G73,[5]COG!A:H,2,0))</f>
        <v/>
      </c>
      <c r="I73" s="10"/>
      <c r="J73" s="10"/>
      <c r="K73" s="10"/>
      <c r="L73" s="10"/>
      <c r="M73" s="11"/>
      <c r="N73" s="12"/>
      <c r="O73" s="12"/>
      <c r="P73" s="8"/>
    </row>
    <row r="74" spans="1:16" ht="37.5" customHeight="1" x14ac:dyDescent="0.2">
      <c r="A74" s="3"/>
      <c r="B74" s="4"/>
      <c r="C74" s="5"/>
      <c r="D74" s="6" t="str">
        <f>IF(C74&lt;=0,"",VLOOKUP(C74,[5]FF!A:D,2,0))</f>
        <v/>
      </c>
      <c r="E74" s="5"/>
      <c r="F74" s="7"/>
      <c r="G74" s="8"/>
      <c r="H74" s="9" t="str">
        <f>IF(G74&lt;=0,"",VLOOKUP(G74,[5]COG!A:H,2,0))</f>
        <v/>
      </c>
      <c r="I74" s="10"/>
      <c r="J74" s="10"/>
      <c r="K74" s="10"/>
      <c r="L74" s="10"/>
      <c r="M74" s="11"/>
      <c r="N74" s="12"/>
      <c r="O74" s="12"/>
      <c r="P74" s="8"/>
    </row>
    <row r="75" spans="1:16" ht="37.5" customHeight="1" x14ac:dyDescent="0.2">
      <c r="A75" s="3"/>
      <c r="B75" s="4"/>
      <c r="C75" s="5"/>
      <c r="D75" s="6" t="str">
        <f>IF(C75&lt;=0,"",VLOOKUP(C75,[5]FF!A:D,2,0))</f>
        <v/>
      </c>
      <c r="E75" s="5"/>
      <c r="F75" s="7"/>
      <c r="G75" s="8"/>
      <c r="H75" s="9" t="str">
        <f>IF(G75&lt;=0,"",VLOOKUP(G75,[5]COG!A:H,2,0))</f>
        <v/>
      </c>
      <c r="I75" s="10"/>
      <c r="J75" s="10"/>
      <c r="K75" s="10"/>
      <c r="L75" s="10"/>
      <c r="M75" s="11"/>
      <c r="N75" s="12"/>
      <c r="O75" s="12"/>
      <c r="P75" s="8"/>
    </row>
    <row r="76" spans="1:16" ht="37.5" customHeight="1" x14ac:dyDescent="0.2">
      <c r="A76" s="3"/>
      <c r="B76" s="4"/>
      <c r="C76" s="5"/>
      <c r="D76" s="6" t="str">
        <f>IF(C76&lt;=0,"",VLOOKUP(C76,[5]FF!A:D,2,0))</f>
        <v/>
      </c>
      <c r="E76" s="5"/>
      <c r="F76" s="7"/>
      <c r="G76" s="8"/>
      <c r="H76" s="9" t="str">
        <f>IF(G76&lt;=0,"",VLOOKUP(G76,[5]COG!A:H,2,0))</f>
        <v/>
      </c>
      <c r="I76" s="10"/>
      <c r="J76" s="10"/>
      <c r="K76" s="10"/>
      <c r="L76" s="10"/>
      <c r="M76" s="11"/>
      <c r="N76" s="12"/>
      <c r="O76" s="12"/>
      <c r="P76" s="8"/>
    </row>
    <row r="77" spans="1:16" ht="37.5" customHeight="1" x14ac:dyDescent="0.2">
      <c r="A77" s="3"/>
      <c r="B77" s="4"/>
      <c r="C77" s="5"/>
      <c r="D77" s="6" t="str">
        <f>IF(C77&lt;=0,"",VLOOKUP(C77,[5]FF!A:D,2,0))</f>
        <v/>
      </c>
      <c r="E77" s="5"/>
      <c r="F77" s="7"/>
      <c r="G77" s="8"/>
      <c r="H77" s="9" t="str">
        <f>IF(G77&lt;=0,"",VLOOKUP(G77,[5]COG!A:H,2,0))</f>
        <v/>
      </c>
      <c r="I77" s="10"/>
      <c r="J77" s="10"/>
      <c r="K77" s="10"/>
      <c r="L77" s="10"/>
      <c r="M77" s="11"/>
      <c r="N77" s="12"/>
      <c r="O77" s="12"/>
      <c r="P77" s="8"/>
    </row>
    <row r="78" spans="1:16" ht="37.5" customHeight="1" x14ac:dyDescent="0.2">
      <c r="A78" s="3"/>
      <c r="B78" s="4"/>
      <c r="C78" s="5"/>
      <c r="D78" s="6" t="str">
        <f>IF(C78&lt;=0,"",VLOOKUP(C78,[5]FF!A:D,2,0))</f>
        <v/>
      </c>
      <c r="E78" s="5"/>
      <c r="F78" s="7"/>
      <c r="G78" s="8"/>
      <c r="H78" s="9" t="str">
        <f>IF(G78&lt;=0,"",VLOOKUP(G78,[5]COG!A:H,2,0))</f>
        <v/>
      </c>
      <c r="I78" s="10"/>
      <c r="J78" s="10"/>
      <c r="K78" s="10"/>
      <c r="L78" s="10"/>
      <c r="M78" s="11"/>
      <c r="N78" s="12"/>
      <c r="O78" s="12"/>
      <c r="P78" s="8"/>
    </row>
    <row r="79" spans="1:16" ht="37.5" customHeight="1" x14ac:dyDescent="0.2">
      <c r="A79" s="3"/>
      <c r="B79" s="4"/>
      <c r="C79" s="5"/>
      <c r="D79" s="6" t="str">
        <f>IF(C79&lt;=0,"",VLOOKUP(C79,[5]FF!A:D,2,0))</f>
        <v/>
      </c>
      <c r="E79" s="5"/>
      <c r="F79" s="7"/>
      <c r="G79" s="8"/>
      <c r="H79" s="9" t="str">
        <f>IF(G79&lt;=0,"",VLOOKUP(G79,[5]COG!A:H,2,0))</f>
        <v/>
      </c>
      <c r="I79" s="10"/>
      <c r="J79" s="10"/>
      <c r="K79" s="10"/>
      <c r="L79" s="10"/>
      <c r="M79" s="11"/>
      <c r="N79" s="12"/>
      <c r="O79" s="12"/>
      <c r="P79" s="8"/>
    </row>
    <row r="80" spans="1:16" ht="37.5" customHeight="1" x14ac:dyDescent="0.2">
      <c r="A80" s="3"/>
      <c r="B80" s="4"/>
      <c r="C80" s="5"/>
      <c r="D80" s="6" t="str">
        <f>IF(C80&lt;=0,"",VLOOKUP(C80,[5]FF!A:D,2,0))</f>
        <v/>
      </c>
      <c r="E80" s="5"/>
      <c r="F80" s="7"/>
      <c r="G80" s="8"/>
      <c r="H80" s="9" t="str">
        <f>IF(G80&lt;=0,"",VLOOKUP(G80,[5]COG!A:H,2,0))</f>
        <v/>
      </c>
      <c r="I80" s="10"/>
      <c r="J80" s="10"/>
      <c r="K80" s="10"/>
      <c r="L80" s="10"/>
      <c r="M80" s="11"/>
      <c r="N80" s="12"/>
      <c r="O80" s="12"/>
      <c r="P80" s="8"/>
    </row>
    <row r="81" spans="1:16" ht="37.5" customHeight="1" x14ac:dyDescent="0.2">
      <c r="A81" s="3"/>
      <c r="B81" s="4"/>
      <c r="C81" s="5"/>
      <c r="D81" s="6" t="str">
        <f>IF(C81&lt;=0,"",VLOOKUP(C81,[5]FF!A:D,2,0))</f>
        <v/>
      </c>
      <c r="E81" s="5"/>
      <c r="F81" s="7"/>
      <c r="G81" s="8"/>
      <c r="H81" s="9" t="str">
        <f>IF(G81&lt;=0,"",VLOOKUP(G81,[5]COG!A:H,2,0))</f>
        <v/>
      </c>
      <c r="I81" s="10"/>
      <c r="J81" s="10"/>
      <c r="K81" s="10"/>
      <c r="L81" s="10"/>
      <c r="M81" s="11"/>
      <c r="N81" s="12"/>
      <c r="O81" s="12"/>
      <c r="P81" s="8"/>
    </row>
    <row r="82" spans="1:16" ht="37.5" customHeight="1" x14ac:dyDescent="0.2">
      <c r="A82" s="3"/>
      <c r="B82" s="4"/>
      <c r="C82" s="5"/>
      <c r="D82" s="6" t="str">
        <f>IF(C82&lt;=0,"",VLOOKUP(C82,[5]FF!A:D,2,0))</f>
        <v/>
      </c>
      <c r="E82" s="5"/>
      <c r="F82" s="7"/>
      <c r="G82" s="8"/>
      <c r="H82" s="9" t="str">
        <f>IF(G82&lt;=0,"",VLOOKUP(G82,[5]COG!A:H,2,0))</f>
        <v/>
      </c>
      <c r="I82" s="10"/>
      <c r="J82" s="10"/>
      <c r="K82" s="10"/>
      <c r="L82" s="10"/>
      <c r="M82" s="11"/>
      <c r="N82" s="12"/>
      <c r="O82" s="12"/>
      <c r="P82" s="8"/>
    </row>
    <row r="83" spans="1:16" ht="37.5" customHeight="1" x14ac:dyDescent="0.2">
      <c r="A83" s="3"/>
      <c r="B83" s="4"/>
      <c r="C83" s="5"/>
      <c r="D83" s="6" t="str">
        <f>IF(C83&lt;=0,"",VLOOKUP(C83,[5]FF!A:D,2,0))</f>
        <v/>
      </c>
      <c r="E83" s="5"/>
      <c r="F83" s="7"/>
      <c r="G83" s="8"/>
      <c r="H83" s="9" t="str">
        <f>IF(G83&lt;=0,"",VLOOKUP(G83,[5]COG!A:H,2,0))</f>
        <v/>
      </c>
      <c r="I83" s="10"/>
      <c r="J83" s="10"/>
      <c r="K83" s="10"/>
      <c r="L83" s="10"/>
      <c r="M83" s="11"/>
      <c r="N83" s="12"/>
      <c r="O83" s="12"/>
      <c r="P83" s="8"/>
    </row>
    <row r="84" spans="1:16" ht="37.5" customHeight="1" x14ac:dyDescent="0.2">
      <c r="A84" s="3"/>
      <c r="B84" s="4"/>
      <c r="C84" s="5"/>
      <c r="D84" s="6" t="str">
        <f>IF(C84&lt;=0,"",VLOOKUP(C84,[5]FF!A:D,2,0))</f>
        <v/>
      </c>
      <c r="E84" s="5"/>
      <c r="F84" s="7"/>
      <c r="G84" s="8"/>
      <c r="H84" s="9" t="str">
        <f>IF(G84&lt;=0,"",VLOOKUP(G84,[5]COG!A:H,2,0))</f>
        <v/>
      </c>
      <c r="I84" s="10"/>
      <c r="J84" s="10"/>
      <c r="K84" s="10"/>
      <c r="L84" s="10"/>
      <c r="M84" s="11"/>
      <c r="N84" s="12"/>
      <c r="O84" s="12"/>
      <c r="P84" s="8"/>
    </row>
    <row r="85" spans="1:16" ht="37.5" customHeight="1" x14ac:dyDescent="0.2">
      <c r="A85" s="3"/>
      <c r="B85" s="4"/>
      <c r="C85" s="5"/>
      <c r="D85" s="6" t="str">
        <f>IF(C85&lt;=0,"",VLOOKUP(C85,[5]FF!A:D,2,0))</f>
        <v/>
      </c>
      <c r="E85" s="5"/>
      <c r="F85" s="7"/>
      <c r="G85" s="8"/>
      <c r="H85" s="9" t="str">
        <f>IF(G85&lt;=0,"",VLOOKUP(G85,[5]COG!A:H,2,0))</f>
        <v/>
      </c>
      <c r="I85" s="10"/>
      <c r="J85" s="10"/>
      <c r="K85" s="10"/>
      <c r="L85" s="10"/>
      <c r="M85" s="11"/>
      <c r="N85" s="12"/>
      <c r="O85" s="12"/>
      <c r="P85" s="8"/>
    </row>
    <row r="86" spans="1:16" ht="37.5" customHeight="1" x14ac:dyDescent="0.2">
      <c r="A86" s="3"/>
      <c r="B86" s="4"/>
      <c r="C86" s="5"/>
      <c r="D86" s="6" t="str">
        <f>IF(C86&lt;=0,"",VLOOKUP(C86,[5]FF!A:D,2,0))</f>
        <v/>
      </c>
      <c r="E86" s="5"/>
      <c r="F86" s="7"/>
      <c r="G86" s="8"/>
      <c r="H86" s="9" t="str">
        <f>IF(G86&lt;=0,"",VLOOKUP(G86,[5]COG!A:H,2,0))</f>
        <v/>
      </c>
      <c r="I86" s="10"/>
      <c r="J86" s="10"/>
      <c r="K86" s="10"/>
      <c r="L86" s="10"/>
      <c r="M86" s="11"/>
      <c r="N86" s="12"/>
      <c r="O86" s="12"/>
      <c r="P86" s="8"/>
    </row>
    <row r="87" spans="1:16" ht="37.5" customHeight="1" x14ac:dyDescent="0.2">
      <c r="A87" s="3"/>
      <c r="B87" s="4"/>
      <c r="C87" s="5"/>
      <c r="D87" s="6" t="str">
        <f>IF(C87&lt;=0,"",VLOOKUP(C87,[5]FF!A:D,2,0))</f>
        <v/>
      </c>
      <c r="E87" s="5"/>
      <c r="F87" s="7"/>
      <c r="G87" s="8"/>
      <c r="H87" s="9" t="str">
        <f>IF(G87&lt;=0,"",VLOOKUP(G87,[5]COG!A:H,2,0))</f>
        <v/>
      </c>
      <c r="I87" s="10"/>
      <c r="J87" s="10"/>
      <c r="K87" s="10"/>
      <c r="L87" s="10"/>
      <c r="M87" s="11"/>
      <c r="N87" s="12"/>
      <c r="O87" s="12"/>
      <c r="P87" s="8"/>
    </row>
    <row r="88" spans="1:16" ht="37.5" customHeight="1" x14ac:dyDescent="0.2">
      <c r="A88" s="3"/>
      <c r="B88" s="4"/>
      <c r="C88" s="5"/>
      <c r="D88" s="6" t="str">
        <f>IF(C88&lt;=0,"",VLOOKUP(C88,[5]FF!A:D,2,0))</f>
        <v/>
      </c>
      <c r="E88" s="5"/>
      <c r="F88" s="7"/>
      <c r="G88" s="8"/>
      <c r="H88" s="9" t="str">
        <f>IF(G88&lt;=0,"",VLOOKUP(G88,[5]COG!A:H,2,0))</f>
        <v/>
      </c>
      <c r="I88" s="10"/>
      <c r="J88" s="10"/>
      <c r="K88" s="10"/>
      <c r="L88" s="10"/>
      <c r="M88" s="11"/>
      <c r="N88" s="12"/>
      <c r="O88" s="12"/>
      <c r="P88" s="8"/>
    </row>
    <row r="89" spans="1:16" ht="37.5" customHeight="1" x14ac:dyDescent="0.2">
      <c r="A89" s="3"/>
      <c r="B89" s="4"/>
      <c r="C89" s="5"/>
      <c r="D89" s="6" t="str">
        <f>IF(C89&lt;=0,"",VLOOKUP(C89,[5]FF!A:D,2,0))</f>
        <v/>
      </c>
      <c r="E89" s="5"/>
      <c r="F89" s="7"/>
      <c r="G89" s="8"/>
      <c r="H89" s="9" t="str">
        <f>IF(G89&lt;=0,"",VLOOKUP(G89,[5]COG!A:H,2,0))</f>
        <v/>
      </c>
      <c r="I89" s="10"/>
      <c r="J89" s="10"/>
      <c r="K89" s="10"/>
      <c r="L89" s="10"/>
      <c r="M89" s="11"/>
      <c r="N89" s="12"/>
      <c r="O89" s="12"/>
      <c r="P89" s="8"/>
    </row>
    <row r="90" spans="1:16" ht="37.5" customHeight="1" x14ac:dyDescent="0.2">
      <c r="A90" s="3"/>
      <c r="B90" s="4"/>
      <c r="C90" s="5"/>
      <c r="D90" s="6" t="str">
        <f>IF(C90&lt;=0,"",VLOOKUP(C90,[5]FF!A:D,2,0))</f>
        <v/>
      </c>
      <c r="E90" s="5"/>
      <c r="F90" s="7"/>
      <c r="G90" s="8"/>
      <c r="H90" s="9" t="str">
        <f>IF(G90&lt;=0,"",VLOOKUP(G90,[5]COG!A:H,2,0))</f>
        <v/>
      </c>
      <c r="I90" s="10"/>
      <c r="J90" s="10"/>
      <c r="K90" s="10"/>
      <c r="L90" s="10"/>
      <c r="M90" s="11"/>
      <c r="N90" s="12"/>
      <c r="O90" s="12"/>
      <c r="P90" s="8"/>
    </row>
    <row r="91" spans="1:16" ht="37.5" customHeight="1" x14ac:dyDescent="0.2">
      <c r="A91" s="3"/>
      <c r="B91" s="4"/>
      <c r="C91" s="5"/>
      <c r="D91" s="6" t="str">
        <f>IF(C91&lt;=0,"",VLOOKUP(C91,[5]FF!A:D,2,0))</f>
        <v/>
      </c>
      <c r="E91" s="5"/>
      <c r="F91" s="7"/>
      <c r="G91" s="8"/>
      <c r="H91" s="9" t="str">
        <f>IF(G91&lt;=0,"",VLOOKUP(G91,[5]COG!A:H,2,0))</f>
        <v/>
      </c>
      <c r="I91" s="10"/>
      <c r="J91" s="10"/>
      <c r="K91" s="10"/>
      <c r="L91" s="10"/>
      <c r="M91" s="11"/>
      <c r="N91" s="12"/>
      <c r="O91" s="12"/>
      <c r="P91" s="8"/>
    </row>
    <row r="92" spans="1:16" ht="37.5" customHeight="1" x14ac:dyDescent="0.2">
      <c r="A92" s="3"/>
      <c r="B92" s="4"/>
      <c r="C92" s="5"/>
      <c r="D92" s="6" t="str">
        <f>IF(C92&lt;=0,"",VLOOKUP(C92,[5]FF!A:D,2,0))</f>
        <v/>
      </c>
      <c r="E92" s="5"/>
      <c r="F92" s="7"/>
      <c r="G92" s="8"/>
      <c r="H92" s="9" t="str">
        <f>IF(G92&lt;=0,"",VLOOKUP(G92,[5]COG!A:H,2,0))</f>
        <v/>
      </c>
      <c r="I92" s="10"/>
      <c r="J92" s="10"/>
      <c r="K92" s="10"/>
      <c r="L92" s="10"/>
      <c r="M92" s="11"/>
      <c r="N92" s="12"/>
      <c r="O92" s="12"/>
      <c r="P92" s="8"/>
    </row>
    <row r="93" spans="1:16" ht="37.5" customHeight="1" x14ac:dyDescent="0.2">
      <c r="A93" s="3"/>
      <c r="B93" s="4"/>
      <c r="C93" s="5"/>
      <c r="D93" s="6" t="str">
        <f>IF(C93&lt;=0,"",VLOOKUP(C93,[5]FF!A:D,2,0))</f>
        <v/>
      </c>
      <c r="E93" s="5"/>
      <c r="F93" s="7"/>
      <c r="G93" s="8"/>
      <c r="H93" s="9" t="str">
        <f>IF(G93&lt;=0,"",VLOOKUP(G93,[5]COG!A:H,2,0))</f>
        <v/>
      </c>
      <c r="I93" s="10"/>
      <c r="J93" s="10"/>
      <c r="K93" s="10"/>
      <c r="L93" s="10"/>
      <c r="M93" s="11"/>
      <c r="N93" s="12"/>
      <c r="O93" s="12"/>
      <c r="P93" s="8"/>
    </row>
    <row r="94" spans="1:16" ht="37.5" customHeight="1" x14ac:dyDescent="0.2">
      <c r="A94" s="3"/>
      <c r="B94" s="4"/>
      <c r="C94" s="5"/>
      <c r="D94" s="6" t="str">
        <f>IF(C94&lt;=0,"",VLOOKUP(C94,[5]FF!A:D,2,0))</f>
        <v/>
      </c>
      <c r="E94" s="5"/>
      <c r="F94" s="7"/>
      <c r="G94" s="8"/>
      <c r="H94" s="9" t="str">
        <f>IF(G94&lt;=0,"",VLOOKUP(G94,[5]COG!A:H,2,0))</f>
        <v/>
      </c>
      <c r="I94" s="10"/>
      <c r="J94" s="10"/>
      <c r="K94" s="10"/>
      <c r="L94" s="10"/>
      <c r="M94" s="11"/>
      <c r="N94" s="12"/>
      <c r="O94" s="12"/>
      <c r="P94" s="8"/>
    </row>
    <row r="95" spans="1:16" ht="37.5" customHeight="1" x14ac:dyDescent="0.2">
      <c r="A95" s="3"/>
      <c r="B95" s="4"/>
      <c r="C95" s="5"/>
      <c r="D95" s="6" t="str">
        <f>IF(C95&lt;=0,"",VLOOKUP(C95,[5]FF!A:D,2,0))</f>
        <v/>
      </c>
      <c r="E95" s="5"/>
      <c r="F95" s="7"/>
      <c r="G95" s="8"/>
      <c r="H95" s="9" t="str">
        <f>IF(G95&lt;=0,"",VLOOKUP(G95,[5]COG!A:H,2,0))</f>
        <v/>
      </c>
      <c r="I95" s="10"/>
      <c r="J95" s="10"/>
      <c r="K95" s="10"/>
      <c r="L95" s="10"/>
      <c r="M95" s="11"/>
      <c r="N95" s="12"/>
      <c r="O95" s="12"/>
      <c r="P95" s="8"/>
    </row>
    <row r="96" spans="1:16" ht="37.5" customHeight="1" x14ac:dyDescent="0.2">
      <c r="A96" s="3"/>
      <c r="B96" s="4"/>
      <c r="C96" s="5"/>
      <c r="D96" s="6" t="str">
        <f>IF(C96&lt;=0,"",VLOOKUP(C96,[5]FF!A:D,2,0))</f>
        <v/>
      </c>
      <c r="E96" s="5"/>
      <c r="F96" s="7"/>
      <c r="G96" s="8"/>
      <c r="H96" s="9" t="str">
        <f>IF(G96&lt;=0,"",VLOOKUP(G96,[5]COG!A:H,2,0))</f>
        <v/>
      </c>
      <c r="I96" s="10"/>
      <c r="J96" s="10"/>
      <c r="K96" s="10"/>
      <c r="L96" s="10"/>
      <c r="M96" s="11"/>
      <c r="N96" s="12"/>
      <c r="O96" s="12"/>
      <c r="P96" s="8"/>
    </row>
    <row r="97" spans="1:16" ht="37.5" customHeight="1" x14ac:dyDescent="0.2">
      <c r="A97" s="3"/>
      <c r="B97" s="4"/>
      <c r="C97" s="5"/>
      <c r="D97" s="6" t="str">
        <f>IF(C97&lt;=0,"",VLOOKUP(C97,[5]FF!A:D,2,0))</f>
        <v/>
      </c>
      <c r="E97" s="5"/>
      <c r="F97" s="7"/>
      <c r="G97" s="8"/>
      <c r="H97" s="9" t="str">
        <f>IF(G97&lt;=0,"",VLOOKUP(G97,[5]COG!A:H,2,0))</f>
        <v/>
      </c>
      <c r="I97" s="10"/>
      <c r="J97" s="10"/>
      <c r="K97" s="10"/>
      <c r="L97" s="10"/>
      <c r="M97" s="11"/>
      <c r="N97" s="12"/>
      <c r="O97" s="12"/>
      <c r="P97" s="8"/>
    </row>
    <row r="98" spans="1:16" ht="37.5" customHeight="1" x14ac:dyDescent="0.2">
      <c r="A98" s="3"/>
      <c r="B98" s="4"/>
      <c r="C98" s="5"/>
      <c r="D98" s="6" t="str">
        <f>IF(C98&lt;=0,"",VLOOKUP(C98,[5]FF!A:D,2,0))</f>
        <v/>
      </c>
      <c r="E98" s="5"/>
      <c r="F98" s="7"/>
      <c r="G98" s="8"/>
      <c r="H98" s="9" t="str">
        <f>IF(G98&lt;=0,"",VLOOKUP(G98,[5]COG!A:H,2,0))</f>
        <v/>
      </c>
      <c r="I98" s="10"/>
      <c r="J98" s="10"/>
      <c r="K98" s="10"/>
      <c r="L98" s="10"/>
      <c r="M98" s="11"/>
      <c r="N98" s="12"/>
      <c r="O98" s="12"/>
      <c r="P98" s="8"/>
    </row>
    <row r="99" spans="1:16" ht="37.5" customHeight="1" x14ac:dyDescent="0.2">
      <c r="A99" s="3"/>
      <c r="B99" s="4"/>
      <c r="C99" s="5"/>
      <c r="D99" s="6" t="str">
        <f>IF(C99&lt;=0,"",VLOOKUP(C99,[5]FF!A:D,2,0))</f>
        <v/>
      </c>
      <c r="E99" s="5"/>
      <c r="F99" s="7"/>
      <c r="G99" s="8"/>
      <c r="H99" s="9" t="str">
        <f>IF(G99&lt;=0,"",VLOOKUP(G99,[5]COG!A:H,2,0))</f>
        <v/>
      </c>
      <c r="I99" s="10"/>
      <c r="J99" s="10"/>
      <c r="K99" s="10"/>
      <c r="L99" s="10"/>
      <c r="M99" s="11"/>
      <c r="N99" s="12"/>
      <c r="O99" s="12"/>
      <c r="P99" s="8"/>
    </row>
    <row r="100" spans="1:16" ht="37.5" customHeight="1" x14ac:dyDescent="0.2">
      <c r="A100" s="3"/>
      <c r="B100" s="4"/>
      <c r="C100" s="5"/>
      <c r="D100" s="6" t="str">
        <f>IF(C100&lt;=0,"",VLOOKUP(C100,[5]FF!A:D,2,0))</f>
        <v/>
      </c>
      <c r="E100" s="5"/>
      <c r="F100" s="7"/>
      <c r="G100" s="8"/>
      <c r="H100" s="9" t="str">
        <f>IF(G100&lt;=0,"",VLOOKUP(G100,[5]COG!A:H,2,0))</f>
        <v/>
      </c>
      <c r="I100" s="10"/>
      <c r="J100" s="10"/>
      <c r="K100" s="10"/>
      <c r="L100" s="10"/>
      <c r="M100" s="11"/>
      <c r="N100" s="12"/>
      <c r="O100" s="12"/>
      <c r="P100" s="8"/>
    </row>
    <row r="101" spans="1:16" ht="37.5" customHeight="1" x14ac:dyDescent="0.2">
      <c r="A101" s="3"/>
      <c r="B101" s="4"/>
      <c r="C101" s="5"/>
      <c r="D101" s="6" t="str">
        <f>IF(C101&lt;=0,"",VLOOKUP(C101,[5]FF!A:D,2,0))</f>
        <v/>
      </c>
      <c r="E101" s="5"/>
      <c r="F101" s="7"/>
      <c r="G101" s="8"/>
      <c r="H101" s="9" t="str">
        <f>IF(G101&lt;=0,"",VLOOKUP(G101,[5]COG!A:H,2,0))</f>
        <v/>
      </c>
      <c r="I101" s="10"/>
      <c r="J101" s="10"/>
      <c r="K101" s="10"/>
      <c r="L101" s="10"/>
      <c r="M101" s="11"/>
      <c r="N101" s="12"/>
      <c r="O101" s="12"/>
      <c r="P101" s="8"/>
    </row>
    <row r="102" spans="1:16" ht="37.5" customHeight="1" x14ac:dyDescent="0.2">
      <c r="A102" s="3"/>
      <c r="B102" s="4"/>
      <c r="C102" s="5"/>
      <c r="D102" s="6" t="str">
        <f>IF(C102&lt;=0,"",VLOOKUP(C102,[5]FF!A:D,2,0))</f>
        <v/>
      </c>
      <c r="E102" s="5"/>
      <c r="F102" s="7"/>
      <c r="G102" s="8"/>
      <c r="H102" s="9" t="str">
        <f>IF(G102&lt;=0,"",VLOOKUP(G102,[5]COG!A:H,2,0))</f>
        <v/>
      </c>
      <c r="I102" s="10"/>
      <c r="J102" s="10"/>
      <c r="K102" s="10"/>
      <c r="L102" s="10"/>
      <c r="M102" s="11"/>
      <c r="N102" s="12"/>
      <c r="O102" s="12"/>
      <c r="P102" s="8"/>
    </row>
    <row r="103" spans="1:16" ht="37.5" customHeight="1" x14ac:dyDescent="0.2">
      <c r="A103" s="3"/>
      <c r="B103" s="4"/>
      <c r="C103" s="5"/>
      <c r="D103" s="6" t="str">
        <f>IF(C103&lt;=0,"",VLOOKUP(C103,[5]FF!A:D,2,0))</f>
        <v/>
      </c>
      <c r="E103" s="5"/>
      <c r="F103" s="7"/>
      <c r="G103" s="8"/>
      <c r="H103" s="9" t="str">
        <f>IF(G103&lt;=0,"",VLOOKUP(G103,[5]COG!A:H,2,0))</f>
        <v/>
      </c>
      <c r="I103" s="10"/>
      <c r="J103" s="10"/>
      <c r="K103" s="10"/>
      <c r="L103" s="10"/>
      <c r="M103" s="11"/>
      <c r="N103" s="12"/>
      <c r="O103" s="12"/>
      <c r="P103" s="8"/>
    </row>
    <row r="104" spans="1:16" ht="37.5" customHeight="1" x14ac:dyDescent="0.2">
      <c r="A104" s="3"/>
      <c r="B104" s="4"/>
      <c r="C104" s="5"/>
      <c r="D104" s="6" t="str">
        <f>IF(C104&lt;=0,"",VLOOKUP(C104,[5]FF!A:D,2,0))</f>
        <v/>
      </c>
      <c r="E104" s="5"/>
      <c r="F104" s="7"/>
      <c r="G104" s="8"/>
      <c r="H104" s="9" t="str">
        <f>IF(G104&lt;=0,"",VLOOKUP(G104,[5]COG!A:H,2,0))</f>
        <v/>
      </c>
      <c r="I104" s="10"/>
      <c r="J104" s="10"/>
      <c r="K104" s="10"/>
      <c r="L104" s="10"/>
      <c r="M104" s="11"/>
      <c r="N104" s="12"/>
      <c r="O104" s="12"/>
      <c r="P104" s="8"/>
    </row>
    <row r="105" spans="1:16" ht="37.5" customHeight="1" x14ac:dyDescent="0.2">
      <c r="A105" s="3"/>
      <c r="B105" s="4"/>
      <c r="C105" s="5"/>
      <c r="D105" s="6" t="str">
        <f>IF(C105&lt;=0,"",VLOOKUP(C105,[5]FF!A:D,2,0))</f>
        <v/>
      </c>
      <c r="E105" s="5"/>
      <c r="F105" s="7"/>
      <c r="G105" s="8"/>
      <c r="H105" s="9" t="str">
        <f>IF(G105&lt;=0,"",VLOOKUP(G105,[5]COG!A:H,2,0))</f>
        <v/>
      </c>
      <c r="I105" s="10"/>
      <c r="J105" s="10"/>
      <c r="K105" s="10"/>
      <c r="L105" s="10"/>
      <c r="M105" s="11"/>
      <c r="N105" s="12"/>
      <c r="O105" s="12"/>
      <c r="P105" s="8"/>
    </row>
    <row r="106" spans="1:16" ht="37.5" customHeight="1" x14ac:dyDescent="0.2">
      <c r="A106" s="3"/>
      <c r="B106" s="4"/>
      <c r="C106" s="5"/>
      <c r="D106" s="6" t="str">
        <f>IF(C106&lt;=0,"",VLOOKUP(C106,[5]FF!A:D,2,0))</f>
        <v/>
      </c>
      <c r="E106" s="5"/>
      <c r="F106" s="7"/>
      <c r="G106" s="8"/>
      <c r="H106" s="9" t="str">
        <f>IF(G106&lt;=0,"",VLOOKUP(G106,[5]COG!A:H,2,0))</f>
        <v/>
      </c>
      <c r="I106" s="10"/>
      <c r="J106" s="10"/>
      <c r="K106" s="10"/>
      <c r="L106" s="10"/>
      <c r="M106" s="11"/>
      <c r="N106" s="12"/>
      <c r="O106" s="12"/>
      <c r="P106" s="8"/>
    </row>
    <row r="107" spans="1:16" ht="37.5" customHeight="1" x14ac:dyDescent="0.2">
      <c r="A107" s="3"/>
      <c r="B107" s="4"/>
      <c r="C107" s="5"/>
      <c r="D107" s="6" t="str">
        <f>IF(C107&lt;=0,"",VLOOKUP(C107,[5]FF!A:D,2,0))</f>
        <v/>
      </c>
      <c r="E107" s="5"/>
      <c r="F107" s="7"/>
      <c r="G107" s="8"/>
      <c r="H107" s="9" t="str">
        <f>IF(G107&lt;=0,"",VLOOKUP(G107,[5]COG!A:H,2,0))</f>
        <v/>
      </c>
      <c r="I107" s="10"/>
      <c r="J107" s="10"/>
      <c r="K107" s="10"/>
      <c r="L107" s="10"/>
      <c r="M107" s="11"/>
      <c r="N107" s="12"/>
      <c r="O107" s="12"/>
      <c r="P107" s="8"/>
    </row>
    <row r="108" spans="1:16" ht="37.5" customHeight="1" x14ac:dyDescent="0.2">
      <c r="A108" s="3"/>
      <c r="B108" s="4"/>
      <c r="C108" s="5"/>
      <c r="D108" s="6" t="str">
        <f>IF(C108&lt;=0,"",VLOOKUP(C108,[5]FF!A:D,2,0))</f>
        <v/>
      </c>
      <c r="E108" s="5"/>
      <c r="F108" s="7"/>
      <c r="G108" s="8"/>
      <c r="H108" s="9" t="str">
        <f>IF(G108&lt;=0,"",VLOOKUP(G108,[5]COG!A:H,2,0))</f>
        <v/>
      </c>
      <c r="I108" s="10"/>
      <c r="J108" s="10"/>
      <c r="K108" s="10"/>
      <c r="L108" s="10"/>
      <c r="M108" s="11"/>
      <c r="N108" s="12"/>
      <c r="O108" s="12"/>
      <c r="P108" s="8"/>
    </row>
    <row r="109" spans="1:16" ht="37.5" customHeight="1" x14ac:dyDescent="0.2">
      <c r="A109" s="3"/>
      <c r="B109" s="4"/>
      <c r="C109" s="5"/>
      <c r="D109" s="6" t="str">
        <f>IF(C109&lt;=0,"",VLOOKUP(C109,[5]FF!A:D,2,0))</f>
        <v/>
      </c>
      <c r="E109" s="5"/>
      <c r="F109" s="7"/>
      <c r="G109" s="8"/>
      <c r="H109" s="9" t="str">
        <f>IF(G109&lt;=0,"",VLOOKUP(G109,[5]COG!A:H,2,0))</f>
        <v/>
      </c>
      <c r="I109" s="10"/>
      <c r="J109" s="10"/>
      <c r="K109" s="10"/>
      <c r="L109" s="10"/>
      <c r="M109" s="11"/>
      <c r="N109" s="12"/>
      <c r="O109" s="12"/>
      <c r="P109" s="8"/>
    </row>
    <row r="110" spans="1:16" ht="37.5" customHeight="1" x14ac:dyDescent="0.2">
      <c r="A110" s="3"/>
      <c r="B110" s="4"/>
      <c r="C110" s="5"/>
      <c r="D110" s="6" t="str">
        <f>IF(C110&lt;=0,"",VLOOKUP(C110,[5]FF!A:D,2,0))</f>
        <v/>
      </c>
      <c r="E110" s="5"/>
      <c r="F110" s="7"/>
      <c r="G110" s="8"/>
      <c r="H110" s="9" t="str">
        <f>IF(G110&lt;=0,"",VLOOKUP(G110,[5]COG!A:H,2,0))</f>
        <v/>
      </c>
      <c r="I110" s="10"/>
      <c r="J110" s="10"/>
      <c r="K110" s="10"/>
      <c r="L110" s="10"/>
      <c r="M110" s="11"/>
      <c r="N110" s="12"/>
      <c r="O110" s="12"/>
      <c r="P110" s="8"/>
    </row>
    <row r="111" spans="1:16" ht="37.5" customHeight="1" x14ac:dyDescent="0.2">
      <c r="A111" s="3"/>
      <c r="B111" s="4"/>
      <c r="C111" s="5"/>
      <c r="D111" s="6" t="str">
        <f>IF(C111&lt;=0,"",VLOOKUP(C111,[5]FF!A:D,2,0))</f>
        <v/>
      </c>
      <c r="E111" s="5"/>
      <c r="F111" s="7"/>
      <c r="G111" s="8"/>
      <c r="H111" s="9" t="str">
        <f>IF(G111&lt;=0,"",VLOOKUP(G111,[5]COG!A:H,2,0))</f>
        <v/>
      </c>
      <c r="I111" s="10"/>
      <c r="J111" s="10"/>
      <c r="K111" s="10"/>
      <c r="L111" s="10"/>
      <c r="M111" s="11"/>
      <c r="N111" s="12"/>
      <c r="O111" s="12"/>
      <c r="P111" s="8"/>
    </row>
    <row r="112" spans="1:16" ht="37.5" customHeight="1" x14ac:dyDescent="0.2">
      <c r="A112" s="3"/>
      <c r="B112" s="4"/>
      <c r="C112" s="5"/>
      <c r="D112" s="6" t="str">
        <f>IF(C112&lt;=0,"",VLOOKUP(C112,[5]FF!A:D,2,0))</f>
        <v/>
      </c>
      <c r="E112" s="5"/>
      <c r="F112" s="7"/>
      <c r="G112" s="8"/>
      <c r="H112" s="9" t="str">
        <f>IF(G112&lt;=0,"",VLOOKUP(G112,[5]COG!A:H,2,0))</f>
        <v/>
      </c>
      <c r="I112" s="10"/>
      <c r="J112" s="10"/>
      <c r="K112" s="10"/>
      <c r="L112" s="10"/>
      <c r="M112" s="11"/>
      <c r="N112" s="12"/>
      <c r="O112" s="12"/>
      <c r="P112" s="8"/>
    </row>
    <row r="113" spans="1:16" ht="37.5" customHeight="1" x14ac:dyDescent="0.2">
      <c r="A113" s="3"/>
      <c r="B113" s="4"/>
      <c r="C113" s="5"/>
      <c r="D113" s="6" t="str">
        <f>IF(C113&lt;=0,"",VLOOKUP(C113,[5]FF!A:D,2,0))</f>
        <v/>
      </c>
      <c r="E113" s="5"/>
      <c r="F113" s="7"/>
      <c r="G113" s="8"/>
      <c r="H113" s="9" t="str">
        <f>IF(G113&lt;=0,"",VLOOKUP(G113,[5]COG!A:H,2,0))</f>
        <v/>
      </c>
      <c r="I113" s="10"/>
      <c r="J113" s="10"/>
      <c r="K113" s="10"/>
      <c r="L113" s="10"/>
      <c r="M113" s="11"/>
      <c r="N113" s="12"/>
      <c r="O113" s="12"/>
      <c r="P113" s="8"/>
    </row>
    <row r="114" spans="1:16" ht="37.5" customHeight="1" x14ac:dyDescent="0.2">
      <c r="A114" s="3"/>
      <c r="B114" s="4"/>
      <c r="C114" s="5"/>
      <c r="D114" s="6" t="str">
        <f>IF(C114&lt;=0,"",VLOOKUP(C114,[5]FF!A:D,2,0))</f>
        <v/>
      </c>
      <c r="E114" s="5"/>
      <c r="F114" s="7"/>
      <c r="G114" s="8"/>
      <c r="H114" s="9" t="str">
        <f>IF(G114&lt;=0,"",VLOOKUP(G114,[5]COG!A:H,2,0))</f>
        <v/>
      </c>
      <c r="I114" s="10"/>
      <c r="J114" s="10"/>
      <c r="K114" s="10"/>
      <c r="L114" s="10"/>
      <c r="M114" s="11"/>
      <c r="N114" s="12"/>
      <c r="O114" s="12"/>
      <c r="P114" s="8"/>
    </row>
    <row r="115" spans="1:16" ht="37.5" customHeight="1" x14ac:dyDescent="0.2">
      <c r="A115" s="3"/>
      <c r="B115" s="4"/>
      <c r="C115" s="5"/>
      <c r="D115" s="6" t="str">
        <f>IF(C115&lt;=0,"",VLOOKUP(C115,[5]FF!A:D,2,0))</f>
        <v/>
      </c>
      <c r="E115" s="5"/>
      <c r="F115" s="7"/>
      <c r="G115" s="8"/>
      <c r="H115" s="9" t="str">
        <f>IF(G115&lt;=0,"",VLOOKUP(G115,[5]COG!A:H,2,0))</f>
        <v/>
      </c>
      <c r="I115" s="10"/>
      <c r="J115" s="10"/>
      <c r="K115" s="10"/>
      <c r="L115" s="10"/>
      <c r="M115" s="11"/>
      <c r="N115" s="12"/>
      <c r="O115" s="12"/>
      <c r="P115" s="8"/>
    </row>
    <row r="116" spans="1:16" ht="37.5" customHeight="1" x14ac:dyDescent="0.2">
      <c r="A116" s="3"/>
      <c r="B116" s="4"/>
      <c r="C116" s="5"/>
      <c r="D116" s="6" t="str">
        <f>IF(C116&lt;=0,"",VLOOKUP(C116,[5]FF!A:D,2,0))</f>
        <v/>
      </c>
      <c r="E116" s="5"/>
      <c r="F116" s="7"/>
      <c r="G116" s="8"/>
      <c r="H116" s="9" t="str">
        <f>IF(G116&lt;=0,"",VLOOKUP(G116,[5]COG!A:H,2,0))</f>
        <v/>
      </c>
      <c r="I116" s="10"/>
      <c r="J116" s="10"/>
      <c r="K116" s="10"/>
      <c r="L116" s="10"/>
      <c r="M116" s="11"/>
      <c r="N116" s="12"/>
      <c r="O116" s="12"/>
      <c r="P116" s="8"/>
    </row>
    <row r="117" spans="1:16" ht="37.5" customHeight="1" x14ac:dyDescent="0.2">
      <c r="A117" s="3"/>
      <c r="B117" s="4"/>
      <c r="C117" s="5"/>
      <c r="D117" s="6" t="str">
        <f>IF(C117&lt;=0,"",VLOOKUP(C117,[5]FF!A:D,2,0))</f>
        <v/>
      </c>
      <c r="E117" s="5"/>
      <c r="F117" s="7"/>
      <c r="G117" s="8"/>
      <c r="H117" s="9" t="str">
        <f>IF(G117&lt;=0,"",VLOOKUP(G117,[5]COG!A:H,2,0))</f>
        <v/>
      </c>
      <c r="I117" s="10"/>
      <c r="J117" s="10"/>
      <c r="K117" s="10"/>
      <c r="L117" s="10"/>
      <c r="M117" s="11"/>
      <c r="N117" s="12"/>
      <c r="O117" s="12"/>
      <c r="P117" s="8"/>
    </row>
    <row r="118" spans="1:16" ht="37.5" customHeight="1" x14ac:dyDescent="0.2">
      <c r="A118" s="3"/>
      <c r="B118" s="4"/>
      <c r="C118" s="5"/>
      <c r="D118" s="6" t="str">
        <f>IF(C118&lt;=0,"",VLOOKUP(C118,[5]FF!A:D,2,0))</f>
        <v/>
      </c>
      <c r="E118" s="5"/>
      <c r="F118" s="7"/>
      <c r="G118" s="8"/>
      <c r="H118" s="9" t="str">
        <f>IF(G118&lt;=0,"",VLOOKUP(G118,[5]COG!A:H,2,0))</f>
        <v/>
      </c>
      <c r="I118" s="10"/>
      <c r="J118" s="10"/>
      <c r="K118" s="10"/>
      <c r="L118" s="10"/>
      <c r="M118" s="11"/>
      <c r="N118" s="12"/>
      <c r="O118" s="12"/>
      <c r="P118" s="8"/>
    </row>
    <row r="119" spans="1:16" ht="37.5" customHeight="1" x14ac:dyDescent="0.2">
      <c r="A119" s="3"/>
      <c r="B119" s="4"/>
      <c r="C119" s="5"/>
      <c r="D119" s="6" t="str">
        <f>IF(C119&lt;=0,"",VLOOKUP(C119,[5]FF!A:D,2,0))</f>
        <v/>
      </c>
      <c r="E119" s="5"/>
      <c r="F119" s="7"/>
      <c r="G119" s="8"/>
      <c r="H119" s="9" t="str">
        <f>IF(G119&lt;=0,"",VLOOKUP(G119,[5]COG!A:H,2,0))</f>
        <v/>
      </c>
      <c r="I119" s="10"/>
      <c r="J119" s="10"/>
      <c r="K119" s="10"/>
      <c r="L119" s="10"/>
      <c r="M119" s="11"/>
      <c r="N119" s="12"/>
      <c r="O119" s="12"/>
      <c r="P119" s="8"/>
    </row>
    <row r="120" spans="1:16" ht="37.5" customHeight="1" x14ac:dyDescent="0.2">
      <c r="A120" s="3"/>
      <c r="B120" s="4"/>
      <c r="C120" s="5"/>
      <c r="D120" s="6" t="str">
        <f>IF(C120&lt;=0,"",VLOOKUP(C120,[5]FF!A:D,2,0))</f>
        <v/>
      </c>
      <c r="E120" s="5"/>
      <c r="F120" s="7"/>
      <c r="G120" s="8"/>
      <c r="H120" s="9" t="str">
        <f>IF(G120&lt;=0,"",VLOOKUP(G120,[5]COG!A:H,2,0))</f>
        <v/>
      </c>
      <c r="I120" s="10"/>
      <c r="J120" s="10"/>
      <c r="K120" s="10"/>
      <c r="L120" s="10"/>
      <c r="M120" s="11"/>
      <c r="N120" s="12"/>
      <c r="O120" s="12"/>
      <c r="P120" s="8"/>
    </row>
    <row r="121" spans="1:16" ht="37.5" customHeight="1" x14ac:dyDescent="0.2">
      <c r="A121" s="3"/>
      <c r="B121" s="4"/>
      <c r="C121" s="5"/>
      <c r="D121" s="6" t="str">
        <f>IF(C121&lt;=0,"",VLOOKUP(C121,[5]FF!A:D,2,0))</f>
        <v/>
      </c>
      <c r="E121" s="5"/>
      <c r="F121" s="7"/>
      <c r="G121" s="8"/>
      <c r="H121" s="9" t="str">
        <f>IF(G121&lt;=0,"",VLOOKUP(G121,[5]COG!A:H,2,0))</f>
        <v/>
      </c>
      <c r="I121" s="10"/>
      <c r="J121" s="10"/>
      <c r="K121" s="10"/>
      <c r="L121" s="10"/>
      <c r="M121" s="11"/>
      <c r="N121" s="12"/>
      <c r="O121" s="12"/>
      <c r="P121" s="8"/>
    </row>
    <row r="122" spans="1:16" ht="37.5" customHeight="1" x14ac:dyDescent="0.2">
      <c r="A122" s="3"/>
      <c r="B122" s="4"/>
      <c r="C122" s="5"/>
      <c r="D122" s="6" t="str">
        <f>IF(C122&lt;=0,"",VLOOKUP(C122,[5]FF!A:D,2,0))</f>
        <v/>
      </c>
      <c r="E122" s="5"/>
      <c r="F122" s="7"/>
      <c r="G122" s="8"/>
      <c r="H122" s="9" t="str">
        <f>IF(G122&lt;=0,"",VLOOKUP(G122,[5]COG!A:H,2,0))</f>
        <v/>
      </c>
      <c r="I122" s="10"/>
      <c r="J122" s="10"/>
      <c r="K122" s="10"/>
      <c r="L122" s="10"/>
      <c r="M122" s="11"/>
      <c r="N122" s="12"/>
      <c r="O122" s="12"/>
      <c r="P122" s="8"/>
    </row>
    <row r="123" spans="1:16" ht="37.5" customHeight="1" x14ac:dyDescent="0.2">
      <c r="A123" s="3"/>
      <c r="B123" s="4"/>
      <c r="C123" s="5"/>
      <c r="D123" s="6" t="str">
        <f>IF(C123&lt;=0,"",VLOOKUP(C123,[5]FF!A:D,2,0))</f>
        <v/>
      </c>
      <c r="E123" s="5"/>
      <c r="F123" s="7"/>
      <c r="G123" s="8"/>
      <c r="H123" s="9" t="str">
        <f>IF(G123&lt;=0,"",VLOOKUP(G123,[5]COG!A:H,2,0))</f>
        <v/>
      </c>
      <c r="I123" s="10"/>
      <c r="J123" s="10"/>
      <c r="K123" s="10"/>
      <c r="L123" s="10"/>
      <c r="M123" s="11"/>
      <c r="N123" s="12"/>
      <c r="O123" s="12"/>
      <c r="P123" s="8"/>
    </row>
    <row r="124" spans="1:16" ht="37.5" customHeight="1" x14ac:dyDescent="0.2">
      <c r="A124" s="3"/>
      <c r="B124" s="4"/>
      <c r="C124" s="5"/>
      <c r="D124" s="6" t="str">
        <f>IF(C124&lt;=0,"",VLOOKUP(C124,[5]FF!A:D,2,0))</f>
        <v/>
      </c>
      <c r="E124" s="5"/>
      <c r="F124" s="7"/>
      <c r="G124" s="8"/>
      <c r="H124" s="9" t="str">
        <f>IF(G124&lt;=0,"",VLOOKUP(G124,[5]COG!A:H,2,0))</f>
        <v/>
      </c>
      <c r="I124" s="10"/>
      <c r="J124" s="10"/>
      <c r="K124" s="10"/>
      <c r="L124" s="10"/>
      <c r="M124" s="11"/>
      <c r="N124" s="12"/>
      <c r="O124" s="12"/>
      <c r="P124" s="8"/>
    </row>
    <row r="125" spans="1:16" ht="37.5" customHeight="1" x14ac:dyDescent="0.2">
      <c r="A125" s="3"/>
      <c r="B125" s="4"/>
      <c r="C125" s="5"/>
      <c r="D125" s="6" t="str">
        <f>IF(C125&lt;=0,"",VLOOKUP(C125,[5]FF!A:D,2,0))</f>
        <v/>
      </c>
      <c r="E125" s="5"/>
      <c r="F125" s="7"/>
      <c r="G125" s="8"/>
      <c r="H125" s="9" t="str">
        <f>IF(G125&lt;=0,"",VLOOKUP(G125,[5]COG!A:H,2,0))</f>
        <v/>
      </c>
      <c r="I125" s="10"/>
      <c r="J125" s="10"/>
      <c r="K125" s="10"/>
      <c r="L125" s="10"/>
      <c r="M125" s="11"/>
      <c r="N125" s="12"/>
      <c r="O125" s="12"/>
      <c r="P125" s="8"/>
    </row>
    <row r="126" spans="1:16" ht="37.5" customHeight="1" x14ac:dyDescent="0.2">
      <c r="A126" s="3"/>
      <c r="B126" s="4"/>
      <c r="C126" s="5"/>
      <c r="D126" s="6" t="str">
        <f>IF(C126&lt;=0,"",VLOOKUP(C126,[5]FF!A:D,2,0))</f>
        <v/>
      </c>
      <c r="E126" s="5"/>
      <c r="F126" s="7"/>
      <c r="G126" s="8"/>
      <c r="H126" s="9" t="str">
        <f>IF(G126&lt;=0,"",VLOOKUP(G126,[5]COG!A:H,2,0))</f>
        <v/>
      </c>
      <c r="I126" s="10"/>
      <c r="J126" s="10"/>
      <c r="K126" s="10"/>
      <c r="L126" s="10"/>
      <c r="M126" s="11"/>
      <c r="N126" s="12"/>
      <c r="O126" s="12"/>
      <c r="P126" s="8"/>
    </row>
    <row r="127" spans="1:16" ht="37.5" customHeight="1" x14ac:dyDescent="0.2">
      <c r="A127" s="3"/>
      <c r="B127" s="4"/>
      <c r="C127" s="5"/>
      <c r="D127" s="6" t="str">
        <f>IF(C127&lt;=0,"",VLOOKUP(C127,[5]FF!A:D,2,0))</f>
        <v/>
      </c>
      <c r="E127" s="5"/>
      <c r="F127" s="7"/>
      <c r="G127" s="8"/>
      <c r="H127" s="9" t="str">
        <f>IF(G127&lt;=0,"",VLOOKUP(G127,[5]COG!A:H,2,0))</f>
        <v/>
      </c>
      <c r="I127" s="10"/>
      <c r="J127" s="10"/>
      <c r="K127" s="10"/>
      <c r="L127" s="10"/>
      <c r="M127" s="11"/>
      <c r="N127" s="12"/>
      <c r="O127" s="12"/>
      <c r="P127" s="8"/>
    </row>
    <row r="128" spans="1:16" ht="37.5" customHeight="1" x14ac:dyDescent="0.2">
      <c r="A128" s="3"/>
      <c r="B128" s="4"/>
      <c r="C128" s="5"/>
      <c r="D128" s="6" t="str">
        <f>IF(C128&lt;=0,"",VLOOKUP(C128,[5]FF!A:D,2,0))</f>
        <v/>
      </c>
      <c r="E128" s="5"/>
      <c r="F128" s="7"/>
      <c r="G128" s="8"/>
      <c r="H128" s="9" t="str">
        <f>IF(G128&lt;=0,"",VLOOKUP(G128,[5]COG!A:H,2,0))</f>
        <v/>
      </c>
      <c r="I128" s="10"/>
      <c r="J128" s="10"/>
      <c r="K128" s="10"/>
      <c r="L128" s="10"/>
      <c r="M128" s="11"/>
      <c r="N128" s="12"/>
      <c r="O128" s="12"/>
      <c r="P128" s="8"/>
    </row>
    <row r="129" spans="1:16" ht="37.5" customHeight="1" x14ac:dyDescent="0.2">
      <c r="A129" s="3"/>
      <c r="B129" s="4"/>
      <c r="C129" s="5"/>
      <c r="D129" s="6" t="str">
        <f>IF(C129&lt;=0,"",VLOOKUP(C129,[5]FF!A:D,2,0))</f>
        <v/>
      </c>
      <c r="E129" s="5"/>
      <c r="F129" s="7"/>
      <c r="G129" s="8"/>
      <c r="H129" s="9" t="str">
        <f>IF(G129&lt;=0,"",VLOOKUP(G129,[5]COG!A:H,2,0))</f>
        <v/>
      </c>
      <c r="I129" s="10"/>
      <c r="J129" s="10"/>
      <c r="K129" s="10"/>
      <c r="L129" s="10"/>
      <c r="M129" s="11"/>
      <c r="N129" s="12"/>
      <c r="O129" s="12"/>
      <c r="P129" s="8"/>
    </row>
    <row r="130" spans="1:16" ht="37.5" customHeight="1" x14ac:dyDescent="0.2">
      <c r="A130" s="3"/>
      <c r="B130" s="4"/>
      <c r="C130" s="5"/>
      <c r="D130" s="6" t="str">
        <f>IF(C130&lt;=0,"",VLOOKUP(C130,[5]FF!A:D,2,0))</f>
        <v/>
      </c>
      <c r="E130" s="5"/>
      <c r="F130" s="7"/>
      <c r="G130" s="8"/>
      <c r="H130" s="9" t="str">
        <f>IF(G130&lt;=0,"",VLOOKUP(G130,[5]COG!A:H,2,0))</f>
        <v/>
      </c>
      <c r="I130" s="10"/>
      <c r="J130" s="10"/>
      <c r="K130" s="10"/>
      <c r="L130" s="10"/>
      <c r="M130" s="11"/>
      <c r="N130" s="12"/>
      <c r="O130" s="13"/>
      <c r="P130" s="8"/>
    </row>
    <row r="131" spans="1:16" ht="37.5" customHeight="1" x14ac:dyDescent="0.2">
      <c r="A131" s="3"/>
      <c r="B131" s="4"/>
      <c r="C131" s="5"/>
      <c r="D131" s="6" t="str">
        <f>IF(C131&lt;=0,"",VLOOKUP(C131,[5]FF!A:D,2,0))</f>
        <v/>
      </c>
      <c r="E131" s="5"/>
      <c r="F131" s="7"/>
      <c r="G131" s="8"/>
      <c r="H131" s="9" t="str">
        <f>IF(G131&lt;=0,"",VLOOKUP(G131,[5]COG!A:H,2,0))</f>
        <v/>
      </c>
      <c r="I131" s="10"/>
      <c r="J131" s="10"/>
      <c r="K131" s="10"/>
      <c r="L131" s="10"/>
      <c r="M131" s="11"/>
      <c r="N131" s="12"/>
      <c r="O131" s="13"/>
      <c r="P131" s="8"/>
    </row>
    <row r="132" spans="1:16" ht="37.5" customHeight="1" x14ac:dyDescent="0.2">
      <c r="A132" s="3"/>
      <c r="B132" s="4"/>
      <c r="C132" s="5"/>
      <c r="D132" s="6" t="str">
        <f>IF(C132&lt;=0,"",VLOOKUP(C132,[5]FF!A:D,2,0))</f>
        <v/>
      </c>
      <c r="E132" s="5"/>
      <c r="F132" s="7"/>
      <c r="G132" s="8"/>
      <c r="H132" s="9" t="str">
        <f>IF(G132&lt;=0,"",VLOOKUP(G132,[5]COG!A:H,2,0))</f>
        <v/>
      </c>
      <c r="I132" s="10"/>
      <c r="J132" s="10"/>
      <c r="K132" s="10"/>
      <c r="L132" s="10"/>
      <c r="M132" s="11"/>
      <c r="N132" s="12"/>
      <c r="O132" s="13"/>
      <c r="P132" s="8"/>
    </row>
    <row r="133" spans="1:16" ht="37.5" customHeight="1" x14ac:dyDescent="0.2">
      <c r="A133" s="3"/>
      <c r="B133" s="4"/>
      <c r="C133" s="5"/>
      <c r="D133" s="6" t="str">
        <f>IF(C133&lt;=0,"",VLOOKUP(C133,[5]FF!A:D,2,0))</f>
        <v/>
      </c>
      <c r="E133" s="5"/>
      <c r="F133" s="7"/>
      <c r="G133" s="8"/>
      <c r="H133" s="9" t="str">
        <f>IF(G133&lt;=0,"",VLOOKUP(G133,[5]COG!A:H,2,0))</f>
        <v/>
      </c>
      <c r="I133" s="10"/>
      <c r="J133" s="10"/>
      <c r="K133" s="10"/>
      <c r="L133" s="10"/>
      <c r="M133" s="11"/>
      <c r="N133" s="12"/>
      <c r="O133" s="13"/>
      <c r="P133" s="8"/>
    </row>
    <row r="134" spans="1:16" ht="37.5" customHeight="1" x14ac:dyDescent="0.2">
      <c r="A134" s="3"/>
      <c r="B134" s="4"/>
      <c r="C134" s="5"/>
      <c r="D134" s="6" t="str">
        <f>IF(C134&lt;=0,"",VLOOKUP(C134,[5]FF!A:D,2,0))</f>
        <v/>
      </c>
      <c r="E134" s="5"/>
      <c r="F134" s="7"/>
      <c r="G134" s="8"/>
      <c r="H134" s="9" t="str">
        <f>IF(G134&lt;=0,"",VLOOKUP(G134,[5]COG!A:H,2,0))</f>
        <v/>
      </c>
      <c r="I134" s="10"/>
      <c r="J134" s="10"/>
      <c r="K134" s="10"/>
      <c r="L134" s="10"/>
      <c r="M134" s="11"/>
      <c r="N134" s="12"/>
      <c r="O134" s="13"/>
      <c r="P134" s="8"/>
    </row>
    <row r="135" spans="1:16" ht="37.5" customHeight="1" x14ac:dyDescent="0.2">
      <c r="A135" s="3"/>
      <c r="B135" s="4"/>
      <c r="C135" s="5"/>
      <c r="D135" s="6" t="str">
        <f>IF(C135&lt;=0,"",VLOOKUP(C135,[5]FF!A:D,2,0))</f>
        <v/>
      </c>
      <c r="E135" s="5"/>
      <c r="F135" s="7"/>
      <c r="G135" s="8"/>
      <c r="H135" s="9" t="str">
        <f>IF(G135&lt;=0,"",VLOOKUP(G135,[5]COG!A:H,2,0))</f>
        <v/>
      </c>
      <c r="I135" s="10"/>
      <c r="J135" s="10"/>
      <c r="K135" s="10"/>
      <c r="L135" s="10"/>
      <c r="M135" s="11"/>
      <c r="N135" s="12"/>
      <c r="O135" s="13"/>
      <c r="P135" s="8"/>
    </row>
    <row r="136" spans="1:16" ht="37.5" customHeight="1" x14ac:dyDescent="0.2">
      <c r="A136" s="3"/>
      <c r="B136" s="4"/>
      <c r="C136" s="5"/>
      <c r="D136" s="6" t="str">
        <f>IF(C136&lt;=0,"",VLOOKUP(C136,[5]FF!A:D,2,0))</f>
        <v/>
      </c>
      <c r="E136" s="5"/>
      <c r="F136" s="7"/>
      <c r="G136" s="8"/>
      <c r="H136" s="9" t="str">
        <f>IF(G136&lt;=0,"",VLOOKUP(G136,[5]COG!A:H,2,0))</f>
        <v/>
      </c>
      <c r="I136" s="10"/>
      <c r="J136" s="10"/>
      <c r="K136" s="10"/>
      <c r="L136" s="10"/>
      <c r="M136" s="11"/>
      <c r="N136" s="12"/>
      <c r="O136" s="13"/>
      <c r="P136" s="8"/>
    </row>
    <row r="137" spans="1:16" ht="37.5" customHeight="1" x14ac:dyDescent="0.2">
      <c r="A137" s="3"/>
      <c r="B137" s="4"/>
      <c r="C137" s="5"/>
      <c r="D137" s="6" t="str">
        <f>IF(C137&lt;=0,"",VLOOKUP(C137,[5]FF!A:D,2,0))</f>
        <v/>
      </c>
      <c r="E137" s="5"/>
      <c r="F137" s="7"/>
      <c r="G137" s="8"/>
      <c r="H137" s="9" t="str">
        <f>IF(G137&lt;=0,"",VLOOKUP(G137,[5]COG!A:H,2,0))</f>
        <v/>
      </c>
      <c r="I137" s="10"/>
      <c r="J137" s="10"/>
      <c r="K137" s="10"/>
      <c r="L137" s="10"/>
      <c r="M137" s="11"/>
      <c r="N137" s="12"/>
      <c r="O137" s="13"/>
      <c r="P137" s="8"/>
    </row>
    <row r="138" spans="1:16" ht="37.5" customHeight="1" x14ac:dyDescent="0.2">
      <c r="A138" s="3"/>
      <c r="B138" s="4"/>
      <c r="C138" s="5"/>
      <c r="D138" s="6" t="str">
        <f>IF(C138&lt;=0,"",VLOOKUP(C138,[5]FF!A:D,2,0))</f>
        <v/>
      </c>
      <c r="E138" s="5"/>
      <c r="F138" s="7"/>
      <c r="G138" s="8"/>
      <c r="H138" s="9" t="str">
        <f>IF(G138&lt;=0,"",VLOOKUP(G138,[5]COG!A:H,2,0))</f>
        <v/>
      </c>
      <c r="I138" s="10"/>
      <c r="J138" s="10"/>
      <c r="K138" s="10"/>
      <c r="L138" s="10"/>
      <c r="M138" s="11"/>
      <c r="N138" s="12"/>
      <c r="O138" s="13"/>
      <c r="P138" s="8"/>
    </row>
    <row r="139" spans="1:16" ht="37.5" customHeight="1" x14ac:dyDescent="0.2">
      <c r="A139" s="3"/>
      <c r="B139" s="4"/>
      <c r="C139" s="5"/>
      <c r="D139" s="6" t="str">
        <f>IF(C139&lt;=0,"",VLOOKUP(C139,[5]FF!A:D,2,0))</f>
        <v/>
      </c>
      <c r="E139" s="5"/>
      <c r="F139" s="7"/>
      <c r="G139" s="8"/>
      <c r="H139" s="9" t="str">
        <f>IF(G139&lt;=0,"",VLOOKUP(G139,[5]COG!A:H,2,0))</f>
        <v/>
      </c>
      <c r="I139" s="10"/>
      <c r="J139" s="10"/>
      <c r="K139" s="10"/>
      <c r="L139" s="10"/>
      <c r="M139" s="11"/>
      <c r="N139" s="12"/>
      <c r="O139" s="13"/>
      <c r="P139" s="8"/>
    </row>
    <row r="140" spans="1:16" ht="37.5" customHeight="1" x14ac:dyDescent="0.2">
      <c r="A140" s="3"/>
      <c r="B140" s="4"/>
      <c r="C140" s="5"/>
      <c r="D140" s="6" t="str">
        <f>IF(C140&lt;=0,"",VLOOKUP(C140,[5]FF!A:D,2,0))</f>
        <v/>
      </c>
      <c r="E140" s="5"/>
      <c r="F140" s="7"/>
      <c r="G140" s="8"/>
      <c r="H140" s="9" t="str">
        <f>IF(G140&lt;=0,"",VLOOKUP(G140,[5]COG!A:H,2,0))</f>
        <v/>
      </c>
      <c r="I140" s="10"/>
      <c r="J140" s="10"/>
      <c r="K140" s="10"/>
      <c r="L140" s="10"/>
      <c r="M140" s="11"/>
      <c r="N140" s="12"/>
      <c r="O140" s="13"/>
      <c r="P140" s="8"/>
    </row>
    <row r="141" spans="1:16" ht="37.5" customHeight="1" x14ac:dyDescent="0.2">
      <c r="A141" s="3"/>
      <c r="B141" s="4"/>
      <c r="C141" s="5"/>
      <c r="D141" s="6" t="str">
        <f>IF(C141&lt;=0,"",VLOOKUP(C141,[5]FF!A:D,2,0))</f>
        <v/>
      </c>
      <c r="E141" s="5"/>
      <c r="F141" s="7"/>
      <c r="G141" s="8"/>
      <c r="H141" s="9" t="str">
        <f>IF(G141&lt;=0,"",VLOOKUP(G141,[5]COG!A:H,2,0))</f>
        <v/>
      </c>
      <c r="I141" s="10"/>
      <c r="J141" s="10"/>
      <c r="K141" s="10"/>
      <c r="L141" s="10"/>
      <c r="M141" s="11"/>
      <c r="N141" s="12"/>
      <c r="O141" s="13"/>
      <c r="P141" s="8"/>
    </row>
    <row r="142" spans="1:16" ht="37.5" customHeight="1" x14ac:dyDescent="0.2">
      <c r="A142" s="3"/>
      <c r="B142" s="4"/>
      <c r="C142" s="5"/>
      <c r="D142" s="6" t="str">
        <f>IF(C142&lt;=0,"",VLOOKUP(C142,[5]FF!A:D,2,0))</f>
        <v/>
      </c>
      <c r="E142" s="5"/>
      <c r="F142" s="7"/>
      <c r="G142" s="8"/>
      <c r="H142" s="9" t="str">
        <f>IF(G142&lt;=0,"",VLOOKUP(G142,[5]COG!A:H,2,0))</f>
        <v/>
      </c>
      <c r="I142" s="10"/>
      <c r="J142" s="10"/>
      <c r="K142" s="10"/>
      <c r="L142" s="10"/>
      <c r="M142" s="11"/>
      <c r="N142" s="12"/>
      <c r="O142" s="13"/>
      <c r="P142" s="8"/>
    </row>
    <row r="143" spans="1:16" ht="37.5" customHeight="1" x14ac:dyDescent="0.2">
      <c r="A143" s="3"/>
      <c r="B143" s="4"/>
      <c r="C143" s="5"/>
      <c r="D143" s="6" t="str">
        <f>IF(C143&lt;=0,"",VLOOKUP(C143,[5]FF!A:D,2,0))</f>
        <v/>
      </c>
      <c r="E143" s="5"/>
      <c r="F143" s="7"/>
      <c r="G143" s="8"/>
      <c r="H143" s="9" t="str">
        <f>IF(G143&lt;=0,"",VLOOKUP(G143,[5]COG!A:H,2,0))</f>
        <v/>
      </c>
      <c r="I143" s="10"/>
      <c r="J143" s="10"/>
      <c r="K143" s="10"/>
      <c r="L143" s="10"/>
      <c r="M143" s="11"/>
      <c r="N143" s="12"/>
      <c r="O143" s="13"/>
      <c r="P143" s="8"/>
    </row>
    <row r="144" spans="1:16" ht="37.5" customHeight="1" x14ac:dyDescent="0.2">
      <c r="A144" s="3"/>
      <c r="B144" s="4"/>
      <c r="C144" s="5"/>
      <c r="D144" s="6" t="str">
        <f>IF(C144&lt;=0,"",VLOOKUP(C144,[5]FF!A:D,2,0))</f>
        <v/>
      </c>
      <c r="E144" s="5"/>
      <c r="F144" s="7"/>
      <c r="G144" s="8"/>
      <c r="H144" s="9" t="str">
        <f>IF(G144&lt;=0,"",VLOOKUP(G144,[5]COG!A:H,2,0))</f>
        <v/>
      </c>
      <c r="I144" s="10"/>
      <c r="J144" s="10"/>
      <c r="K144" s="10"/>
      <c r="L144" s="10"/>
      <c r="M144" s="11"/>
      <c r="N144" s="12"/>
      <c r="O144" s="13"/>
      <c r="P144" s="8"/>
    </row>
    <row r="145" spans="1:16" ht="37.5" customHeight="1" x14ac:dyDescent="0.2">
      <c r="A145" s="3"/>
      <c r="B145" s="4"/>
      <c r="C145" s="5"/>
      <c r="D145" s="6" t="str">
        <f>IF(C145&lt;=0,"",VLOOKUP(C145,[5]FF!A:D,2,0))</f>
        <v/>
      </c>
      <c r="E145" s="5"/>
      <c r="F145" s="7"/>
      <c r="G145" s="8"/>
      <c r="H145" s="9" t="str">
        <f>IF(G145&lt;=0,"",VLOOKUP(G145,[5]COG!A:H,2,0))</f>
        <v/>
      </c>
      <c r="I145" s="10"/>
      <c r="J145" s="10"/>
      <c r="K145" s="10"/>
      <c r="L145" s="10"/>
      <c r="M145" s="11"/>
      <c r="N145" s="12"/>
      <c r="O145" s="13"/>
      <c r="P145" s="8"/>
    </row>
    <row r="146" spans="1:16" ht="37.5" customHeight="1" x14ac:dyDescent="0.2">
      <c r="A146" s="3"/>
      <c r="B146" s="4"/>
      <c r="C146" s="5"/>
      <c r="D146" s="6" t="str">
        <f>IF(C146&lt;=0,"",VLOOKUP(C146,[5]FF!A:D,2,0))</f>
        <v/>
      </c>
      <c r="E146" s="5"/>
      <c r="F146" s="7"/>
      <c r="G146" s="8"/>
      <c r="H146" s="9" t="str">
        <f>IF(G146&lt;=0,"",VLOOKUP(G146,[5]COG!A:H,2,0))</f>
        <v/>
      </c>
      <c r="I146" s="10"/>
      <c r="J146" s="10"/>
      <c r="K146" s="10"/>
      <c r="L146" s="10"/>
      <c r="M146" s="11"/>
      <c r="N146" s="12"/>
      <c r="O146" s="13"/>
      <c r="P146" s="8"/>
    </row>
    <row r="147" spans="1:16" ht="37.5" customHeight="1" x14ac:dyDescent="0.2">
      <c r="A147" s="3"/>
      <c r="B147" s="4"/>
      <c r="C147" s="5"/>
      <c r="D147" s="6" t="str">
        <f>IF(C147&lt;=0,"",VLOOKUP(C147,[5]FF!A:D,2,0))</f>
        <v/>
      </c>
      <c r="E147" s="5"/>
      <c r="F147" s="7"/>
      <c r="G147" s="8"/>
      <c r="H147" s="9" t="str">
        <f>IF(G147&lt;=0,"",VLOOKUP(G147,[5]COG!A:H,2,0))</f>
        <v/>
      </c>
      <c r="I147" s="10"/>
      <c r="J147" s="10"/>
      <c r="K147" s="10"/>
      <c r="L147" s="10"/>
      <c r="M147" s="11"/>
      <c r="N147" s="12"/>
      <c r="O147" s="13"/>
      <c r="P147" s="8"/>
    </row>
    <row r="148" spans="1:16" ht="37.5" customHeight="1" x14ac:dyDescent="0.2">
      <c r="A148" s="3"/>
      <c r="B148" s="4"/>
      <c r="C148" s="5"/>
      <c r="D148" s="6" t="str">
        <f>IF(C148&lt;=0,"",VLOOKUP(C148,[5]FF!A:D,2,0))</f>
        <v/>
      </c>
      <c r="E148" s="5"/>
      <c r="F148" s="7"/>
      <c r="G148" s="8"/>
      <c r="H148" s="9" t="str">
        <f>IF(G148&lt;=0,"",VLOOKUP(G148,[5]COG!A:H,2,0))</f>
        <v/>
      </c>
      <c r="I148" s="10"/>
      <c r="J148" s="10"/>
      <c r="K148" s="10"/>
      <c r="L148" s="10"/>
      <c r="M148" s="11"/>
      <c r="N148" s="12"/>
      <c r="O148" s="13"/>
      <c r="P148" s="8"/>
    </row>
    <row r="149" spans="1:16" ht="37.5" customHeight="1" x14ac:dyDescent="0.2">
      <c r="A149" s="3"/>
      <c r="B149" s="4"/>
      <c r="C149" s="5"/>
      <c r="D149" s="6" t="str">
        <f>IF(C149&lt;=0,"",VLOOKUP(C149,[5]FF!A:D,2,0))</f>
        <v/>
      </c>
      <c r="E149" s="5"/>
      <c r="F149" s="7"/>
      <c r="G149" s="8"/>
      <c r="H149" s="9" t="str">
        <f>IF(G149&lt;=0,"",VLOOKUP(G149,[5]COG!A:H,2,0))</f>
        <v/>
      </c>
      <c r="I149" s="10"/>
      <c r="J149" s="10"/>
      <c r="K149" s="10"/>
      <c r="L149" s="10"/>
      <c r="M149" s="11"/>
      <c r="N149" s="12"/>
      <c r="O149" s="13"/>
      <c r="P149" s="8"/>
    </row>
    <row r="150" spans="1:16" ht="37.5" customHeight="1" x14ac:dyDescent="0.2">
      <c r="A150" s="3"/>
      <c r="B150" s="4"/>
      <c r="C150" s="5"/>
      <c r="D150" s="6" t="str">
        <f>IF(C150&lt;=0,"",VLOOKUP(C150,[5]FF!A:D,2,0))</f>
        <v/>
      </c>
      <c r="E150" s="5"/>
      <c r="F150" s="7"/>
      <c r="G150" s="8"/>
      <c r="H150" s="9" t="str">
        <f>IF(G150&lt;=0,"",VLOOKUP(G150,[5]COG!A:H,2,0))</f>
        <v/>
      </c>
      <c r="I150" s="10"/>
      <c r="J150" s="10"/>
      <c r="K150" s="10"/>
      <c r="L150" s="10"/>
      <c r="M150" s="11"/>
      <c r="N150" s="12"/>
      <c r="O150" s="13"/>
      <c r="P150" s="8"/>
    </row>
    <row r="151" spans="1:16" ht="37.5" customHeight="1" x14ac:dyDescent="0.2">
      <c r="A151" s="3"/>
      <c r="B151" s="4"/>
      <c r="C151" s="5"/>
      <c r="D151" s="6" t="str">
        <f>IF(C151&lt;=0,"",VLOOKUP(C151,[5]FF!A:D,2,0))</f>
        <v/>
      </c>
      <c r="E151" s="5"/>
      <c r="F151" s="7"/>
      <c r="G151" s="8"/>
      <c r="H151" s="9" t="str">
        <f>IF(G151&lt;=0,"",VLOOKUP(G151,[5]COG!A:H,2,0))</f>
        <v/>
      </c>
      <c r="I151" s="10"/>
      <c r="J151" s="10"/>
      <c r="K151" s="10"/>
      <c r="L151" s="10"/>
      <c r="M151" s="11"/>
      <c r="N151" s="12"/>
      <c r="O151" s="13"/>
      <c r="P151" s="8"/>
    </row>
    <row r="152" spans="1:16" ht="37.5" customHeight="1" x14ac:dyDescent="0.2">
      <c r="A152" s="3"/>
      <c r="B152" s="4"/>
      <c r="C152" s="5"/>
      <c r="D152" s="6" t="str">
        <f>IF(C152&lt;=0,"",VLOOKUP(C152,[5]FF!A:D,2,0))</f>
        <v/>
      </c>
      <c r="E152" s="5"/>
      <c r="F152" s="7"/>
      <c r="G152" s="8"/>
      <c r="H152" s="9" t="str">
        <f>IF(G152&lt;=0,"",VLOOKUP(G152,[5]COG!A:H,2,0))</f>
        <v/>
      </c>
      <c r="I152" s="10"/>
      <c r="J152" s="10"/>
      <c r="K152" s="10"/>
      <c r="L152" s="10"/>
      <c r="M152" s="11"/>
      <c r="N152" s="12"/>
      <c r="O152" s="13"/>
      <c r="P152" s="8"/>
    </row>
    <row r="153" spans="1:16" ht="37.5" customHeight="1" x14ac:dyDescent="0.2">
      <c r="A153" s="14"/>
      <c r="B153" s="14"/>
      <c r="C153" s="14"/>
      <c r="D153" s="15"/>
      <c r="E153" s="14"/>
      <c r="F153" s="14"/>
      <c r="G153" s="14"/>
      <c r="H153" s="16" t="s">
        <v>32</v>
      </c>
      <c r="I153" s="17"/>
      <c r="J153" s="17"/>
      <c r="K153" s="17"/>
      <c r="L153" s="17"/>
      <c r="M153" s="18"/>
      <c r="N153" s="19"/>
      <c r="O153" s="19"/>
      <c r="P153" s="14"/>
    </row>
    <row r="156" spans="1:16" ht="37.5" customHeight="1" x14ac:dyDescent="0.2">
      <c r="M156" s="29"/>
    </row>
  </sheetData>
  <protectedRanges>
    <protectedRange algorithmName="SHA-512" hashValue="CVDb5J/0TlFD03lqit9XaA7LbCMGvWLCsduA3v8dImZEGhWfzgZ6Dg6bkjbAbJm1bYAcMLcpovU/dJmuMze5jw==" saltValue="QZ4X9aU2cO4/tAPW6011Dw==" spinCount="100000" sqref="N5:P153" name="EDITABLE 4"/>
    <protectedRange algorithmName="SHA-512" hashValue="ytsoXFfC1+WmXVaa1/e6XfcZ7vPjNmSnuZe33NqN4NcqbRxNJdzSGuklMRpskJNPYNNz1yZQe585JE4aSLisOg==" saltValue="/jSLFmNX0mB2vn2qhSJbtw==" spinCount="100000" sqref="I5:L153" name="EDITABLE 3"/>
    <protectedRange algorithmName="SHA-512" hashValue="pJNw8ysPJcfMEDlzTgza0siiHuU4FkUpIzbuTX325DFaYD5nL5ng0z0JoIGpE+CYch2hq/LccMqSM51MpHojPQ==" saltValue="xv9nj4u85CXs/Kmy5tmlKw==" spinCount="100000" sqref="E5:G153" name="EDITABLE 2"/>
    <protectedRange algorithmName="SHA-512" hashValue="Lst7hsT/mUUQvFsOUalIdMZhSjExDj/C7u4r1gIjHREwBj16N7lqODQ0CY6n+RXalo774Zm4aYZKVBS0n4XIeg==" saltValue="KfnRR/cqfK967zBK52Zr6A==" spinCount="100000" sqref="A5:C153" name="EDITABLE 1"/>
  </protectedRanges>
  <mergeCells count="3">
    <mergeCell ref="A1:P1"/>
    <mergeCell ref="A2:P2"/>
    <mergeCell ref="A3:P3"/>
  </mergeCells>
  <dataValidations count="2">
    <dataValidation type="list" allowBlank="1" showInputMessage="1" showErrorMessage="1" sqref="G5:G152" xr:uid="{28C6B983-9229-464C-9AF9-D6112C182914}">
      <formula1>INDIRECT(F5)</formula1>
    </dataValidation>
    <dataValidation type="list" allowBlank="1" showInputMessage="1" showErrorMessage="1" sqref="F5:F152" xr:uid="{EB9A298E-7A14-4E9B-B216-55FCD2AAEFD0}">
      <formula1>CAPITULOS</formula1>
    </dataValidation>
  </dataValidations>
  <pageMargins left="3.937007874015748E-2" right="0.19685039370078741" top="0" bottom="0.15748031496062992" header="0" footer="0.31496062992125984"/>
  <pageSetup paperSize="5" scale="60" orientation="landscape" r:id="rId1"/>
  <rowBreaks count="1" manualBreakCount="1">
    <brk id="42" max="15" man="1"/>
  </rowBreaks>
  <drawing r:id="rId2"/>
  <tableParts count="1">
    <tablePart r:id="rId3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927373-26D0-4E7D-B677-0C1E9AEA87E4}">
  <sheetPr>
    <tabColor rgb="FF00B050"/>
    <pageSetUpPr fitToPage="1"/>
  </sheetPr>
  <dimension ref="A1:R87"/>
  <sheetViews>
    <sheetView view="pageBreakPreview" zoomScale="85" zoomScaleNormal="84" zoomScaleSheetLayoutView="85" workbookViewId="0">
      <pane ySplit="4" topLeftCell="A5" activePane="bottomLeft" state="frozen"/>
      <selection activeCell="L24" sqref="L24"/>
      <selection pane="bottomLeft" activeCell="L24" sqref="L24"/>
    </sheetView>
  </sheetViews>
  <sheetFormatPr baseColWidth="10" defaultColWidth="11.42578125" defaultRowHeight="37.5" customHeight="1" x14ac:dyDescent="0.2"/>
  <cols>
    <col min="1" max="1" width="10.28515625" style="1" customWidth="1"/>
    <col min="2" max="2" width="17.5703125" style="1" customWidth="1"/>
    <col min="3" max="3" width="18.140625" style="1" customWidth="1"/>
    <col min="4" max="4" width="17.42578125" style="1" customWidth="1"/>
    <col min="5" max="5" width="14.7109375" style="1" customWidth="1"/>
    <col min="6" max="6" width="12" style="1" customWidth="1"/>
    <col min="7" max="7" width="13" style="1" customWidth="1"/>
    <col min="8" max="8" width="32.140625" style="1" customWidth="1"/>
    <col min="9" max="12" width="13.85546875" style="1" bestFit="1" customWidth="1"/>
    <col min="13" max="13" width="18.5703125" style="1" bestFit="1" customWidth="1"/>
    <col min="14" max="14" width="21.7109375" style="1" customWidth="1"/>
    <col min="15" max="15" width="22.7109375" style="1" customWidth="1"/>
    <col min="16" max="16" width="18.5703125" style="1" customWidth="1"/>
    <col min="17" max="16384" width="11.42578125" style="1"/>
  </cols>
  <sheetData>
    <row r="1" spans="1:18" ht="22.5" customHeight="1" x14ac:dyDescent="0.2">
      <c r="A1" s="115" t="s">
        <v>24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</row>
    <row r="2" spans="1:18" ht="18.75" customHeight="1" x14ac:dyDescent="0.2">
      <c r="A2" s="116" t="s">
        <v>236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</row>
    <row r="3" spans="1:18" ht="32.25" customHeight="1" x14ac:dyDescent="0.2">
      <c r="A3" s="117" t="s">
        <v>25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</row>
    <row r="4" spans="1:18" s="2" customFormat="1" ht="48" customHeight="1" x14ac:dyDescent="0.2">
      <c r="A4" s="72" t="s">
        <v>0</v>
      </c>
      <c r="B4" s="72" t="s">
        <v>1</v>
      </c>
      <c r="C4" s="72" t="s">
        <v>2</v>
      </c>
      <c r="D4" s="72" t="s">
        <v>3</v>
      </c>
      <c r="E4" s="72" t="s">
        <v>4</v>
      </c>
      <c r="F4" s="72" t="s">
        <v>5</v>
      </c>
      <c r="G4" s="72" t="s">
        <v>6</v>
      </c>
      <c r="H4" s="72" t="s">
        <v>7</v>
      </c>
      <c r="I4" s="72" t="s">
        <v>26</v>
      </c>
      <c r="J4" s="72" t="s">
        <v>8</v>
      </c>
      <c r="K4" s="72" t="s">
        <v>9</v>
      </c>
      <c r="L4" s="72" t="s">
        <v>10</v>
      </c>
      <c r="M4" s="72" t="s">
        <v>237</v>
      </c>
      <c r="N4" s="72" t="s">
        <v>11</v>
      </c>
      <c r="O4" s="72" t="s">
        <v>12</v>
      </c>
      <c r="P4" s="72" t="s">
        <v>13</v>
      </c>
    </row>
    <row r="5" spans="1:18" s="55" customFormat="1" ht="37.5" customHeight="1" x14ac:dyDescent="0.25">
      <c r="A5" s="3">
        <v>7</v>
      </c>
      <c r="B5" s="4" t="s">
        <v>238</v>
      </c>
      <c r="C5" s="5">
        <v>530</v>
      </c>
      <c r="D5" s="81" t="s">
        <v>14</v>
      </c>
      <c r="E5" s="5" t="s">
        <v>239</v>
      </c>
      <c r="F5" s="47" t="s">
        <v>15</v>
      </c>
      <c r="G5" s="8">
        <v>211001</v>
      </c>
      <c r="H5" s="45" t="s">
        <v>16</v>
      </c>
      <c r="I5" s="56">
        <v>78920.62</v>
      </c>
      <c r="J5" s="56">
        <v>78920.62</v>
      </c>
      <c r="K5" s="56">
        <v>78920.62</v>
      </c>
      <c r="L5" s="56">
        <v>78920.62</v>
      </c>
      <c r="M5" s="11">
        <f>Tabla124[[#This Row],[TRIMESTRE  I]]+Tabla124[[#This Row],[TRIMESTRE II]]+Tabla124[[#This Row],[TRIMESTRE III]]+Tabla124[[#This Row],[TRIMESTRE IV]]</f>
        <v>315682.48</v>
      </c>
      <c r="N5" s="12" t="s">
        <v>240</v>
      </c>
      <c r="O5" s="13">
        <v>45657</v>
      </c>
      <c r="P5" s="8" t="s">
        <v>37</v>
      </c>
      <c r="R5" s="56"/>
    </row>
    <row r="6" spans="1:18" s="55" customFormat="1" ht="37.5" customHeight="1" x14ac:dyDescent="0.25">
      <c r="A6" s="3">
        <v>7</v>
      </c>
      <c r="B6" s="4" t="s">
        <v>238</v>
      </c>
      <c r="C6" s="5">
        <v>530</v>
      </c>
      <c r="D6" s="81" t="s">
        <v>14</v>
      </c>
      <c r="E6" s="5" t="s">
        <v>239</v>
      </c>
      <c r="F6" s="47" t="s">
        <v>15</v>
      </c>
      <c r="G6" s="8">
        <v>212001</v>
      </c>
      <c r="H6" s="45" t="s">
        <v>50</v>
      </c>
      <c r="I6" s="12">
        <v>4837.2</v>
      </c>
      <c r="J6" s="12">
        <v>4837.2</v>
      </c>
      <c r="K6" s="12">
        <v>4837.2</v>
      </c>
      <c r="L6" s="12">
        <v>98246</v>
      </c>
      <c r="M6" s="11">
        <f>Tabla124[[#This Row],[TRIMESTRE  I]]+Tabla124[[#This Row],[TRIMESTRE II]]+Tabla124[[#This Row],[TRIMESTRE III]]+Tabla124[[#This Row],[TRIMESTRE IV]]</f>
        <v>112757.6</v>
      </c>
      <c r="N6" s="12" t="s">
        <v>20</v>
      </c>
      <c r="O6" s="13">
        <v>45657</v>
      </c>
      <c r="P6" s="8" t="s">
        <v>186</v>
      </c>
      <c r="R6" s="56"/>
    </row>
    <row r="7" spans="1:18" s="55" customFormat="1" ht="37.5" customHeight="1" x14ac:dyDescent="0.25">
      <c r="A7" s="3">
        <v>7</v>
      </c>
      <c r="B7" s="4" t="s">
        <v>238</v>
      </c>
      <c r="C7" s="5">
        <v>530</v>
      </c>
      <c r="D7" s="81" t="s">
        <v>14</v>
      </c>
      <c r="E7" s="5" t="s">
        <v>239</v>
      </c>
      <c r="F7" s="47" t="s">
        <v>15</v>
      </c>
      <c r="G7" s="8">
        <v>216001</v>
      </c>
      <c r="H7" s="45" t="s">
        <v>18</v>
      </c>
      <c r="I7" s="12">
        <v>25460.42</v>
      </c>
      <c r="J7" s="12">
        <v>25460.42</v>
      </c>
      <c r="K7" s="12">
        <v>25460.42</v>
      </c>
      <c r="L7" s="12">
        <v>71098.2</v>
      </c>
      <c r="M7" s="11">
        <f>Tabla124[[#This Row],[TRIMESTRE  I]]+Tabla124[[#This Row],[TRIMESTRE II]]+Tabla124[[#This Row],[TRIMESTRE III]]+Tabla124[[#This Row],[TRIMESTRE IV]]</f>
        <v>147479.46</v>
      </c>
      <c r="N7" s="12" t="s">
        <v>240</v>
      </c>
      <c r="O7" s="13">
        <v>45657</v>
      </c>
      <c r="P7" s="8" t="s">
        <v>37</v>
      </c>
      <c r="R7" s="56"/>
    </row>
    <row r="8" spans="1:18" s="55" customFormat="1" ht="37.5" customHeight="1" x14ac:dyDescent="0.25">
      <c r="A8" s="3">
        <v>7</v>
      </c>
      <c r="B8" s="4" t="s">
        <v>238</v>
      </c>
      <c r="C8" s="5">
        <v>530</v>
      </c>
      <c r="D8" s="81" t="s">
        <v>14</v>
      </c>
      <c r="E8" s="5" t="s">
        <v>239</v>
      </c>
      <c r="F8" s="47" t="s">
        <v>15</v>
      </c>
      <c r="G8" s="8">
        <v>221001</v>
      </c>
      <c r="H8" s="45" t="s">
        <v>93</v>
      </c>
      <c r="I8" s="12">
        <v>11420.8</v>
      </c>
      <c r="J8" s="12">
        <v>11420.8</v>
      </c>
      <c r="K8" s="12">
        <v>11420.8</v>
      </c>
      <c r="L8" s="12">
        <v>85635.9</v>
      </c>
      <c r="M8" s="11">
        <f>Tabla124[[#This Row],[TRIMESTRE  I]]+Tabla124[[#This Row],[TRIMESTRE II]]+Tabla124[[#This Row],[TRIMESTRE III]]+Tabla124[[#This Row],[TRIMESTRE IV]]</f>
        <v>119898.29999999999</v>
      </c>
      <c r="N8" s="12" t="s">
        <v>19</v>
      </c>
      <c r="O8" s="13">
        <v>45657</v>
      </c>
      <c r="P8" s="8" t="s">
        <v>241</v>
      </c>
      <c r="R8" s="56"/>
    </row>
    <row r="9" spans="1:18" s="55" customFormat="1" ht="37.5" customHeight="1" x14ac:dyDescent="0.25">
      <c r="A9" s="3">
        <v>7</v>
      </c>
      <c r="B9" s="4" t="s">
        <v>238</v>
      </c>
      <c r="C9" s="5">
        <v>530</v>
      </c>
      <c r="D9" s="81" t="s">
        <v>14</v>
      </c>
      <c r="E9" s="5" t="s">
        <v>239</v>
      </c>
      <c r="F9" s="47" t="s">
        <v>15</v>
      </c>
      <c r="G9" s="8">
        <v>249001</v>
      </c>
      <c r="H9" s="45" t="s">
        <v>97</v>
      </c>
      <c r="I9" s="12">
        <v>0</v>
      </c>
      <c r="J9" s="12">
        <v>0</v>
      </c>
      <c r="K9" s="12">
        <v>794.83</v>
      </c>
      <c r="L9" s="12">
        <v>158496</v>
      </c>
      <c r="M9" s="11">
        <f>Tabla124[[#This Row],[TRIMESTRE  I]]+Tabla124[[#This Row],[TRIMESTRE II]]+Tabla124[[#This Row],[TRIMESTRE III]]+Tabla124[[#This Row],[TRIMESTRE IV]]</f>
        <v>159290.82999999999</v>
      </c>
      <c r="N9" s="12" t="s">
        <v>19</v>
      </c>
      <c r="O9" s="13">
        <v>45657</v>
      </c>
      <c r="P9" s="8" t="s">
        <v>241</v>
      </c>
    </row>
    <row r="10" spans="1:18" s="55" customFormat="1" ht="37.5" customHeight="1" x14ac:dyDescent="0.25">
      <c r="A10" s="3">
        <v>7</v>
      </c>
      <c r="B10" s="4" t="s">
        <v>238</v>
      </c>
      <c r="C10" s="5">
        <v>530</v>
      </c>
      <c r="D10" s="81" t="s">
        <v>14</v>
      </c>
      <c r="E10" s="5" t="s">
        <v>239</v>
      </c>
      <c r="F10" s="47" t="s">
        <v>15</v>
      </c>
      <c r="G10" s="8">
        <v>261001</v>
      </c>
      <c r="H10" s="45" t="s">
        <v>46</v>
      </c>
      <c r="I10" s="12">
        <v>423740.86</v>
      </c>
      <c r="J10" s="12">
        <v>423740.87</v>
      </c>
      <c r="K10" s="12">
        <v>423740.87</v>
      </c>
      <c r="L10" s="12">
        <v>1128777.3999999999</v>
      </c>
      <c r="M10" s="11">
        <f>Tabla124[[#This Row],[TRIMESTRE  I]]+Tabla124[[#This Row],[TRIMESTRE II]]+Tabla124[[#This Row],[TRIMESTRE III]]+Tabla124[[#This Row],[TRIMESTRE IV]]</f>
        <v>2400000</v>
      </c>
      <c r="N10" s="12" t="s">
        <v>19</v>
      </c>
      <c r="O10" s="13">
        <v>45657</v>
      </c>
      <c r="P10" s="8" t="s">
        <v>241</v>
      </c>
    </row>
    <row r="11" spans="1:18" s="55" customFormat="1" ht="37.5" customHeight="1" x14ac:dyDescent="0.25">
      <c r="A11" s="3">
        <v>7</v>
      </c>
      <c r="B11" s="4" t="s">
        <v>238</v>
      </c>
      <c r="C11" s="5">
        <v>530</v>
      </c>
      <c r="D11" s="81" t="s">
        <v>14</v>
      </c>
      <c r="E11" s="5" t="s">
        <v>239</v>
      </c>
      <c r="F11" s="47" t="s">
        <v>15</v>
      </c>
      <c r="G11" s="8">
        <v>261002</v>
      </c>
      <c r="H11" s="45" t="s">
        <v>111</v>
      </c>
      <c r="I11" s="12">
        <v>0</v>
      </c>
      <c r="J11" s="12">
        <v>0</v>
      </c>
      <c r="K11" s="12">
        <v>1624.57</v>
      </c>
      <c r="L11" s="12">
        <v>153733.43</v>
      </c>
      <c r="M11" s="11">
        <f>Tabla124[[#This Row],[TRIMESTRE  I]]+Tabla124[[#This Row],[TRIMESTRE II]]+Tabla124[[#This Row],[TRIMESTRE III]]+Tabla124[[#This Row],[TRIMESTRE IV]]</f>
        <v>155358</v>
      </c>
      <c r="N11" s="12" t="s">
        <v>19</v>
      </c>
      <c r="O11" s="13">
        <v>45657</v>
      </c>
      <c r="P11" s="8" t="s">
        <v>241</v>
      </c>
    </row>
    <row r="12" spans="1:18" s="55" customFormat="1" ht="37.5" customHeight="1" x14ac:dyDescent="0.25">
      <c r="A12" s="3">
        <v>7</v>
      </c>
      <c r="B12" s="4" t="s">
        <v>238</v>
      </c>
      <c r="C12" s="5">
        <v>530</v>
      </c>
      <c r="D12" s="81" t="s">
        <v>14</v>
      </c>
      <c r="E12" s="5" t="s">
        <v>239</v>
      </c>
      <c r="F12" s="47" t="s">
        <v>15</v>
      </c>
      <c r="G12" s="8">
        <v>271001</v>
      </c>
      <c r="H12" s="45" t="s">
        <v>372</v>
      </c>
      <c r="I12" s="12">
        <v>22274.25</v>
      </c>
      <c r="J12" s="12">
        <v>22274.25</v>
      </c>
      <c r="K12" s="12">
        <v>22274.25</v>
      </c>
      <c r="L12" s="12">
        <v>22274.25</v>
      </c>
      <c r="M12" s="11">
        <f>Tabla124[[#This Row],[TRIMESTRE  I]]+Tabla124[[#This Row],[TRIMESTRE II]]+Tabla124[[#This Row],[TRIMESTRE III]]+Tabla124[[#This Row],[TRIMESTRE IV]]</f>
        <v>89097</v>
      </c>
      <c r="N12" s="12" t="s">
        <v>20</v>
      </c>
      <c r="O12" s="13">
        <v>45657</v>
      </c>
      <c r="P12" s="8" t="s">
        <v>186</v>
      </c>
    </row>
    <row r="13" spans="1:18" s="55" customFormat="1" ht="37.5" customHeight="1" x14ac:dyDescent="0.25">
      <c r="A13" s="3">
        <v>7</v>
      </c>
      <c r="B13" s="4" t="s">
        <v>238</v>
      </c>
      <c r="C13" s="5">
        <v>530</v>
      </c>
      <c r="D13" s="81" t="s">
        <v>14</v>
      </c>
      <c r="E13" s="5" t="s">
        <v>239</v>
      </c>
      <c r="F13" s="47" t="s">
        <v>15</v>
      </c>
      <c r="G13" s="8">
        <v>296001</v>
      </c>
      <c r="H13" s="45" t="s">
        <v>51</v>
      </c>
      <c r="I13" s="12">
        <v>5214.6400000000003</v>
      </c>
      <c r="J13" s="12">
        <v>5214.6400000000003</v>
      </c>
      <c r="K13" s="12">
        <v>5214.6400000000003</v>
      </c>
      <c r="L13" s="12">
        <v>355801.28</v>
      </c>
      <c r="M13" s="11">
        <f>Tabla124[[#This Row],[TRIMESTRE  I]]+Tabla124[[#This Row],[TRIMESTRE II]]+Tabla124[[#This Row],[TRIMESTRE III]]+Tabla124[[#This Row],[TRIMESTRE IV]]</f>
        <v>371445.2</v>
      </c>
      <c r="N13" s="12" t="s">
        <v>19</v>
      </c>
      <c r="O13" s="13">
        <v>45657</v>
      </c>
      <c r="P13" s="8" t="s">
        <v>241</v>
      </c>
    </row>
    <row r="14" spans="1:18" s="55" customFormat="1" ht="37.5" customHeight="1" x14ac:dyDescent="0.25">
      <c r="A14" s="3">
        <v>7</v>
      </c>
      <c r="B14" s="4" t="s">
        <v>238</v>
      </c>
      <c r="C14" s="5">
        <v>530</v>
      </c>
      <c r="D14" s="81" t="s">
        <v>14</v>
      </c>
      <c r="E14" s="5" t="s">
        <v>239</v>
      </c>
      <c r="F14" s="47" t="s">
        <v>22</v>
      </c>
      <c r="G14" s="8">
        <v>322001</v>
      </c>
      <c r="H14" s="45" t="s">
        <v>23</v>
      </c>
      <c r="I14" s="12">
        <v>206121.94</v>
      </c>
      <c r="J14" s="12">
        <v>206121.95</v>
      </c>
      <c r="K14" s="12">
        <v>206121.95</v>
      </c>
      <c r="L14" s="12">
        <v>300486.15999999997</v>
      </c>
      <c r="M14" s="11">
        <f>Tabla124[[#This Row],[TRIMESTRE  I]]+Tabla124[[#This Row],[TRIMESTRE II]]+Tabla124[[#This Row],[TRIMESTRE III]]+Tabla124[[#This Row],[TRIMESTRE IV]]</f>
        <v>918852</v>
      </c>
      <c r="N14" s="12" t="s">
        <v>19</v>
      </c>
      <c r="O14" s="13">
        <v>45657</v>
      </c>
      <c r="P14" s="8" t="s">
        <v>241</v>
      </c>
    </row>
    <row r="15" spans="1:18" s="55" customFormat="1" ht="37.5" customHeight="1" x14ac:dyDescent="0.25">
      <c r="A15" s="3">
        <v>7</v>
      </c>
      <c r="B15" s="4" t="s">
        <v>238</v>
      </c>
      <c r="C15" s="5">
        <v>530</v>
      </c>
      <c r="D15" s="81" t="s">
        <v>14</v>
      </c>
      <c r="E15" s="5" t="s">
        <v>239</v>
      </c>
      <c r="F15" s="47" t="s">
        <v>22</v>
      </c>
      <c r="G15" s="8">
        <v>323001</v>
      </c>
      <c r="H15" s="45" t="s">
        <v>374</v>
      </c>
      <c r="I15" s="12">
        <v>159717.79999999999</v>
      </c>
      <c r="J15" s="12">
        <v>159718</v>
      </c>
      <c r="K15" s="12">
        <v>159717.60999999999</v>
      </c>
      <c r="L15" s="12">
        <v>247476.59</v>
      </c>
      <c r="M15" s="11">
        <f>Tabla124[[#This Row],[TRIMESTRE  I]]+Tabla124[[#This Row],[TRIMESTRE II]]+Tabla124[[#This Row],[TRIMESTRE III]]+Tabla124[[#This Row],[TRIMESTRE IV]]</f>
        <v>726630</v>
      </c>
      <c r="N15" s="12" t="s">
        <v>240</v>
      </c>
      <c r="O15" s="13">
        <v>45657</v>
      </c>
      <c r="P15" s="8" t="s">
        <v>37</v>
      </c>
    </row>
    <row r="16" spans="1:18" s="55" customFormat="1" ht="37.5" customHeight="1" x14ac:dyDescent="0.25">
      <c r="A16" s="3">
        <v>7</v>
      </c>
      <c r="B16" s="4" t="s">
        <v>238</v>
      </c>
      <c r="C16" s="5">
        <v>530</v>
      </c>
      <c r="D16" s="81" t="s">
        <v>14</v>
      </c>
      <c r="E16" s="5" t="s">
        <v>239</v>
      </c>
      <c r="F16" s="47" t="s">
        <v>22</v>
      </c>
      <c r="G16" s="8">
        <v>323002</v>
      </c>
      <c r="H16" s="45" t="s">
        <v>55</v>
      </c>
      <c r="I16" s="12">
        <v>12605</v>
      </c>
      <c r="J16" s="12">
        <v>12605</v>
      </c>
      <c r="K16" s="12">
        <v>12605</v>
      </c>
      <c r="L16" s="12">
        <v>33600</v>
      </c>
      <c r="M16" s="11">
        <f>Tabla124[[#This Row],[TRIMESTRE  I]]+Tabla124[[#This Row],[TRIMESTRE II]]+Tabla124[[#This Row],[TRIMESTRE III]]+Tabla124[[#This Row],[TRIMESTRE IV]]</f>
        <v>71415</v>
      </c>
      <c r="N16" s="12" t="s">
        <v>240</v>
      </c>
      <c r="O16" s="13">
        <v>45657</v>
      </c>
      <c r="P16" s="8" t="s">
        <v>37</v>
      </c>
    </row>
    <row r="17" spans="1:16" s="55" customFormat="1" ht="37.5" customHeight="1" x14ac:dyDescent="0.25">
      <c r="A17" s="3">
        <v>7</v>
      </c>
      <c r="B17" s="4" t="s">
        <v>238</v>
      </c>
      <c r="C17" s="5">
        <v>530</v>
      </c>
      <c r="D17" s="81" t="s">
        <v>14</v>
      </c>
      <c r="E17" s="5" t="s">
        <v>239</v>
      </c>
      <c r="F17" s="47" t="s">
        <v>22</v>
      </c>
      <c r="G17" s="8">
        <v>345001</v>
      </c>
      <c r="H17" s="45" t="s">
        <v>47</v>
      </c>
      <c r="I17" s="12">
        <v>111026.19</v>
      </c>
      <c r="J17" s="12">
        <v>88673.01</v>
      </c>
      <c r="K17" s="12">
        <v>88673.01</v>
      </c>
      <c r="L17" s="12">
        <v>0</v>
      </c>
      <c r="M17" s="11">
        <f>Tabla124[[#This Row],[TRIMESTRE  I]]+Tabla124[[#This Row],[TRIMESTRE II]]+Tabla124[[#This Row],[TRIMESTRE III]]+Tabla124[[#This Row],[TRIMESTRE IV]]</f>
        <v>288372.21000000002</v>
      </c>
      <c r="N17" s="12" t="s">
        <v>19</v>
      </c>
      <c r="O17" s="13">
        <v>45657</v>
      </c>
      <c r="P17" s="8" t="s">
        <v>241</v>
      </c>
    </row>
    <row r="18" spans="1:16" s="55" customFormat="1" ht="37.5" customHeight="1" x14ac:dyDescent="0.25">
      <c r="A18" s="3">
        <v>7</v>
      </c>
      <c r="B18" s="4" t="s">
        <v>238</v>
      </c>
      <c r="C18" s="5">
        <v>530</v>
      </c>
      <c r="D18" s="81" t="s">
        <v>14</v>
      </c>
      <c r="E18" s="5" t="s">
        <v>239</v>
      </c>
      <c r="F18" s="47" t="s">
        <v>22</v>
      </c>
      <c r="G18" s="8">
        <v>351001</v>
      </c>
      <c r="H18" s="45" t="s">
        <v>153</v>
      </c>
      <c r="I18" s="12">
        <v>26476.12</v>
      </c>
      <c r="J18" s="12">
        <v>26476.13</v>
      </c>
      <c r="K18" s="12">
        <v>26476.13</v>
      </c>
      <c r="L18" s="12">
        <v>971286.33</v>
      </c>
      <c r="M18" s="11">
        <f>Tabla124[[#This Row],[TRIMESTRE  I]]+Tabla124[[#This Row],[TRIMESTRE II]]+Tabla124[[#This Row],[TRIMESTRE III]]+Tabla124[[#This Row],[TRIMESTRE IV]]</f>
        <v>1050714.71</v>
      </c>
      <c r="N18" s="12" t="s">
        <v>19</v>
      </c>
      <c r="O18" s="13">
        <v>45657</v>
      </c>
      <c r="P18" s="8" t="s">
        <v>241</v>
      </c>
    </row>
    <row r="19" spans="1:16" s="55" customFormat="1" ht="37.5" customHeight="1" x14ac:dyDescent="0.25">
      <c r="A19" s="3">
        <v>7</v>
      </c>
      <c r="B19" s="4" t="s">
        <v>238</v>
      </c>
      <c r="C19" s="5">
        <v>530</v>
      </c>
      <c r="D19" s="81" t="s">
        <v>14</v>
      </c>
      <c r="E19" s="5" t="s">
        <v>239</v>
      </c>
      <c r="F19" s="47" t="s">
        <v>22</v>
      </c>
      <c r="G19" s="8">
        <v>351002</v>
      </c>
      <c r="H19" s="45" t="s">
        <v>154</v>
      </c>
      <c r="I19" s="12">
        <v>8981.25</v>
      </c>
      <c r="J19" s="12">
        <v>8981.25</v>
      </c>
      <c r="K19" s="12">
        <v>8981.25</v>
      </c>
      <c r="L19" s="12">
        <v>8981.25</v>
      </c>
      <c r="M19" s="11">
        <f>Tabla124[[#This Row],[TRIMESTRE  I]]+Tabla124[[#This Row],[TRIMESTRE II]]+Tabla124[[#This Row],[TRIMESTRE III]]+Tabla124[[#This Row],[TRIMESTRE IV]]</f>
        <v>35925</v>
      </c>
      <c r="N19" s="12" t="s">
        <v>19</v>
      </c>
      <c r="O19" s="13">
        <v>45657</v>
      </c>
      <c r="P19" s="8" t="s">
        <v>241</v>
      </c>
    </row>
    <row r="20" spans="1:16" s="55" customFormat="1" ht="37.5" customHeight="1" x14ac:dyDescent="0.25">
      <c r="A20" s="3">
        <v>7</v>
      </c>
      <c r="B20" s="4" t="s">
        <v>238</v>
      </c>
      <c r="C20" s="5">
        <v>530</v>
      </c>
      <c r="D20" s="81" t="s">
        <v>14</v>
      </c>
      <c r="E20" s="5" t="s">
        <v>239</v>
      </c>
      <c r="F20" s="47" t="s">
        <v>22</v>
      </c>
      <c r="G20" s="8">
        <v>352001</v>
      </c>
      <c r="H20" s="45" t="s">
        <v>167</v>
      </c>
      <c r="I20" s="12"/>
      <c r="J20" s="12"/>
      <c r="K20" s="12">
        <v>928</v>
      </c>
      <c r="L20" s="12">
        <v>91809</v>
      </c>
      <c r="M20" s="11">
        <f>Tabla124[[#This Row],[TRIMESTRE  I]]+Tabla124[[#This Row],[TRIMESTRE II]]+Tabla124[[#This Row],[TRIMESTRE III]]+Tabla124[[#This Row],[TRIMESTRE IV]]</f>
        <v>92737</v>
      </c>
      <c r="N20" s="12" t="s">
        <v>19</v>
      </c>
      <c r="O20" s="13">
        <v>45657</v>
      </c>
      <c r="P20" s="8" t="s">
        <v>241</v>
      </c>
    </row>
    <row r="21" spans="1:16" s="55" customFormat="1" ht="37.5" customHeight="1" x14ac:dyDescent="0.25">
      <c r="A21" s="3">
        <v>7</v>
      </c>
      <c r="B21" s="4" t="s">
        <v>238</v>
      </c>
      <c r="C21" s="5">
        <v>530</v>
      </c>
      <c r="D21" s="81" t="s">
        <v>14</v>
      </c>
      <c r="E21" s="5" t="s">
        <v>239</v>
      </c>
      <c r="F21" s="47" t="s">
        <v>22</v>
      </c>
      <c r="G21" s="8">
        <v>355001</v>
      </c>
      <c r="H21" s="45" t="s">
        <v>56</v>
      </c>
      <c r="I21" s="12"/>
      <c r="J21" s="12">
        <v>35352.35</v>
      </c>
      <c r="K21" s="12">
        <v>35352.35</v>
      </c>
      <c r="L21" s="12">
        <v>395161.3</v>
      </c>
      <c r="M21" s="11">
        <f>Tabla124[[#This Row],[TRIMESTRE  I]]+Tabla124[[#This Row],[TRIMESTRE II]]+Tabla124[[#This Row],[TRIMESTRE III]]+Tabla124[[#This Row],[TRIMESTRE IV]]</f>
        <v>465866</v>
      </c>
      <c r="N21" s="12" t="s">
        <v>20</v>
      </c>
      <c r="O21" s="13">
        <v>45657</v>
      </c>
      <c r="P21" s="8" t="s">
        <v>186</v>
      </c>
    </row>
    <row r="22" spans="1:16" s="55" customFormat="1" ht="37.5" customHeight="1" x14ac:dyDescent="0.25">
      <c r="A22" s="3">
        <v>7</v>
      </c>
      <c r="B22" s="4" t="s">
        <v>238</v>
      </c>
      <c r="C22" s="5">
        <v>530</v>
      </c>
      <c r="D22" s="81" t="s">
        <v>14</v>
      </c>
      <c r="E22" s="5" t="s">
        <v>239</v>
      </c>
      <c r="F22" s="47" t="s">
        <v>22</v>
      </c>
      <c r="G22" s="8">
        <v>358001</v>
      </c>
      <c r="H22" s="45" t="s">
        <v>155</v>
      </c>
      <c r="I22" s="12">
        <v>57048.25</v>
      </c>
      <c r="J22" s="12">
        <v>57048.25</v>
      </c>
      <c r="K22" s="12">
        <v>57048.25</v>
      </c>
      <c r="L22" s="12">
        <v>57048.25</v>
      </c>
      <c r="M22" s="11">
        <f>Tabla124[[#This Row],[TRIMESTRE  I]]+Tabla124[[#This Row],[TRIMESTRE II]]+Tabla124[[#This Row],[TRIMESTRE III]]+Tabla124[[#This Row],[TRIMESTRE IV]]</f>
        <v>228193</v>
      </c>
      <c r="N22" s="12" t="s">
        <v>20</v>
      </c>
      <c r="O22" s="13">
        <v>45657</v>
      </c>
      <c r="P22" s="8" t="s">
        <v>186</v>
      </c>
    </row>
    <row r="23" spans="1:16" s="55" customFormat="1" ht="37.5" customHeight="1" x14ac:dyDescent="0.25">
      <c r="A23" s="3">
        <v>7</v>
      </c>
      <c r="B23" s="4" t="s">
        <v>238</v>
      </c>
      <c r="C23" s="5">
        <v>530</v>
      </c>
      <c r="D23" s="81" t="s">
        <v>14</v>
      </c>
      <c r="E23" s="5" t="s">
        <v>239</v>
      </c>
      <c r="F23" s="47" t="s">
        <v>22</v>
      </c>
      <c r="G23" s="8">
        <v>361002</v>
      </c>
      <c r="H23" s="45" t="s">
        <v>315</v>
      </c>
      <c r="I23" s="12">
        <v>9942</v>
      </c>
      <c r="J23" s="12">
        <v>9942</v>
      </c>
      <c r="K23" s="12">
        <v>9942</v>
      </c>
      <c r="L23" s="12">
        <v>120261</v>
      </c>
      <c r="M23" s="11">
        <f>Tabla124[[#This Row],[TRIMESTRE  I]]+Tabla124[[#This Row],[TRIMESTRE II]]+Tabla124[[#This Row],[TRIMESTRE III]]+Tabla124[[#This Row],[TRIMESTRE IV]]</f>
        <v>150087</v>
      </c>
      <c r="N23" s="12" t="s">
        <v>20</v>
      </c>
      <c r="O23" s="13">
        <v>45657</v>
      </c>
      <c r="P23" s="8" t="s">
        <v>186</v>
      </c>
    </row>
    <row r="24" spans="1:16" s="55" customFormat="1" ht="37.5" customHeight="1" x14ac:dyDescent="0.25">
      <c r="A24" s="3">
        <v>7</v>
      </c>
      <c r="B24" s="4" t="s">
        <v>238</v>
      </c>
      <c r="C24" s="5">
        <v>530</v>
      </c>
      <c r="D24" s="81" t="s">
        <v>14</v>
      </c>
      <c r="E24" s="5" t="s">
        <v>239</v>
      </c>
      <c r="F24" s="47" t="s">
        <v>22</v>
      </c>
      <c r="G24" s="8">
        <v>371001</v>
      </c>
      <c r="H24" s="45" t="s">
        <v>31</v>
      </c>
      <c r="I24" s="12">
        <v>55022.66</v>
      </c>
      <c r="J24" s="12">
        <v>55022.66</v>
      </c>
      <c r="K24" s="12">
        <v>55022.66</v>
      </c>
      <c r="L24" s="12">
        <v>162193.79</v>
      </c>
      <c r="M24" s="11">
        <f>Tabla124[[#This Row],[TRIMESTRE  I]]+Tabla124[[#This Row],[TRIMESTRE II]]+Tabla124[[#This Row],[TRIMESTRE III]]+Tabla124[[#This Row],[TRIMESTRE IV]]</f>
        <v>327261.77</v>
      </c>
      <c r="N24" s="12" t="s">
        <v>240</v>
      </c>
      <c r="O24" s="13">
        <v>45657</v>
      </c>
      <c r="P24" s="8" t="s">
        <v>37</v>
      </c>
    </row>
    <row r="25" spans="1:16" s="55" customFormat="1" ht="37.5" customHeight="1" x14ac:dyDescent="0.25">
      <c r="A25" s="3">
        <v>7</v>
      </c>
      <c r="B25" s="4" t="s">
        <v>238</v>
      </c>
      <c r="C25" s="5">
        <v>530</v>
      </c>
      <c r="D25" s="81" t="s">
        <v>14</v>
      </c>
      <c r="E25" s="5" t="s">
        <v>239</v>
      </c>
      <c r="F25" s="47" t="s">
        <v>22</v>
      </c>
      <c r="G25" s="8">
        <v>382002</v>
      </c>
      <c r="H25" s="45" t="s">
        <v>57</v>
      </c>
      <c r="I25" s="12">
        <v>50000</v>
      </c>
      <c r="J25" s="12">
        <v>50000</v>
      </c>
      <c r="K25" s="12">
        <v>50000</v>
      </c>
      <c r="L25" s="12">
        <v>50000</v>
      </c>
      <c r="M25" s="11">
        <f>Tabla124[[#This Row],[TRIMESTRE  I]]+Tabla124[[#This Row],[TRIMESTRE II]]+Tabla124[[#This Row],[TRIMESTRE III]]+Tabla124[[#This Row],[TRIMESTRE IV]]</f>
        <v>200000</v>
      </c>
      <c r="N25" s="12" t="s">
        <v>19</v>
      </c>
      <c r="O25" s="13">
        <v>45657</v>
      </c>
      <c r="P25" s="8" t="s">
        <v>241</v>
      </c>
    </row>
    <row r="26" spans="1:16" ht="37.5" customHeight="1" thickBot="1" x14ac:dyDescent="0.25">
      <c r="A26" s="97"/>
      <c r="B26" s="98"/>
      <c r="C26" s="99"/>
      <c r="D26" s="100"/>
      <c r="E26" s="99"/>
      <c r="F26" s="99"/>
      <c r="G26" s="101"/>
      <c r="H26" s="102" t="s">
        <v>32</v>
      </c>
      <c r="I26" s="103">
        <v>1268810</v>
      </c>
      <c r="J26" s="103">
        <v>1281809.4099999999</v>
      </c>
      <c r="K26" s="104">
        <v>1285156.43</v>
      </c>
      <c r="L26" s="103">
        <v>4719704.09</v>
      </c>
      <c r="M26" s="105">
        <v>8555479.9299999997</v>
      </c>
      <c r="N26" s="103"/>
      <c r="O26" s="103"/>
      <c r="P26" s="101"/>
    </row>
    <row r="27" spans="1:16" s="55" customFormat="1" ht="37.5" customHeight="1" thickTop="1" x14ac:dyDescent="0.25">
      <c r="A27" s="64"/>
      <c r="B27" s="65"/>
      <c r="C27" s="66"/>
      <c r="D27" s="76"/>
      <c r="E27" s="66"/>
      <c r="F27" s="109"/>
      <c r="G27" s="68"/>
      <c r="H27" s="78"/>
      <c r="I27" s="69"/>
      <c r="J27" s="69"/>
      <c r="K27" s="69"/>
      <c r="L27" s="69"/>
      <c r="M27" s="77"/>
      <c r="N27" s="69"/>
      <c r="O27" s="110"/>
      <c r="P27" s="68"/>
    </row>
    <row r="28" spans="1:16" s="55" customFormat="1" ht="37.5" customHeight="1" x14ac:dyDescent="0.25">
      <c r="A28" s="64"/>
      <c r="B28" s="65"/>
      <c r="C28" s="66"/>
      <c r="D28" s="76"/>
      <c r="E28" s="66"/>
      <c r="F28" s="109"/>
      <c r="G28" s="68"/>
      <c r="H28" s="78"/>
      <c r="I28" s="69"/>
      <c r="J28" s="69"/>
      <c r="K28" s="69"/>
      <c r="L28" s="69"/>
      <c r="M28" s="77"/>
      <c r="N28" s="69"/>
      <c r="O28" s="110"/>
      <c r="P28" s="68"/>
    </row>
    <row r="29" spans="1:16" s="55" customFormat="1" ht="37.5" customHeight="1" x14ac:dyDescent="0.25">
      <c r="A29" s="64"/>
      <c r="B29" s="65"/>
      <c r="C29" s="66"/>
      <c r="D29" s="76"/>
      <c r="E29" s="66"/>
      <c r="F29" s="109"/>
      <c r="G29" s="68"/>
      <c r="H29" s="78"/>
      <c r="I29" s="69"/>
      <c r="J29" s="69"/>
      <c r="K29" s="69"/>
      <c r="L29" s="69"/>
      <c r="M29" s="77"/>
      <c r="N29" s="69"/>
      <c r="O29" s="110"/>
      <c r="P29" s="68"/>
    </row>
    <row r="30" spans="1:16" s="55" customFormat="1" ht="37.5" customHeight="1" x14ac:dyDescent="0.25">
      <c r="A30" s="64"/>
      <c r="B30" s="65"/>
      <c r="C30" s="66"/>
      <c r="D30" s="76"/>
      <c r="E30" s="66"/>
      <c r="F30" s="109"/>
      <c r="G30" s="68"/>
      <c r="H30" s="78"/>
      <c r="I30" s="69"/>
      <c r="J30" s="69"/>
      <c r="K30" s="69"/>
      <c r="L30" s="69"/>
      <c r="M30" s="77"/>
      <c r="N30" s="69"/>
      <c r="O30" s="110"/>
      <c r="P30" s="68"/>
    </row>
    <row r="31" spans="1:16" s="55" customFormat="1" ht="37.5" customHeight="1" x14ac:dyDescent="0.25">
      <c r="A31" s="64"/>
      <c r="B31" s="65"/>
      <c r="C31" s="66"/>
      <c r="D31" s="76"/>
      <c r="E31" s="66"/>
      <c r="F31" s="109"/>
      <c r="G31" s="68"/>
      <c r="H31" s="78"/>
      <c r="I31" s="69"/>
      <c r="J31" s="69"/>
      <c r="K31" s="69"/>
      <c r="L31" s="69"/>
      <c r="M31" s="77"/>
      <c r="N31" s="69"/>
      <c r="O31" s="110"/>
      <c r="P31" s="68"/>
    </row>
    <row r="32" spans="1:16" s="55" customFormat="1" ht="37.5" customHeight="1" x14ac:dyDescent="0.25">
      <c r="A32" s="64"/>
      <c r="B32" s="65"/>
      <c r="C32" s="66"/>
      <c r="D32" s="76"/>
      <c r="E32" s="66"/>
      <c r="F32" s="109"/>
      <c r="G32" s="68"/>
      <c r="H32" s="78"/>
      <c r="I32" s="69"/>
      <c r="J32" s="69"/>
      <c r="K32" s="69"/>
      <c r="L32" s="69"/>
      <c r="M32" s="77"/>
      <c r="N32" s="69"/>
      <c r="O32" s="110"/>
      <c r="P32" s="68"/>
    </row>
    <row r="33" spans="1:16" s="55" customFormat="1" ht="37.5" customHeight="1" x14ac:dyDescent="0.25">
      <c r="A33" s="64"/>
      <c r="B33" s="65"/>
      <c r="C33" s="66"/>
      <c r="D33" s="76"/>
      <c r="E33" s="66"/>
      <c r="F33" s="109"/>
      <c r="G33" s="68"/>
      <c r="H33" s="78"/>
      <c r="I33" s="69"/>
      <c r="J33" s="69"/>
      <c r="K33" s="69"/>
      <c r="L33" s="69"/>
      <c r="M33" s="77"/>
      <c r="N33" s="69"/>
      <c r="O33" s="110"/>
      <c r="P33" s="68"/>
    </row>
    <row r="34" spans="1:16" s="55" customFormat="1" ht="37.5" customHeight="1" x14ac:dyDescent="0.25">
      <c r="A34" s="64"/>
      <c r="B34" s="65"/>
      <c r="C34" s="66"/>
      <c r="D34" s="76"/>
      <c r="E34" s="66"/>
      <c r="F34" s="109"/>
      <c r="G34" s="68"/>
      <c r="H34" s="78"/>
      <c r="I34" s="69"/>
      <c r="J34" s="69"/>
      <c r="K34" s="69"/>
      <c r="L34" s="69"/>
      <c r="M34" s="77"/>
      <c r="N34" s="69"/>
      <c r="O34" s="110"/>
      <c r="P34" s="68"/>
    </row>
    <row r="35" spans="1:16" s="55" customFormat="1" ht="37.5" customHeight="1" x14ac:dyDescent="0.25">
      <c r="A35" s="64"/>
      <c r="B35" s="65"/>
      <c r="C35" s="66"/>
      <c r="D35" s="76"/>
      <c r="E35" s="66"/>
      <c r="F35" s="109"/>
      <c r="G35" s="68"/>
      <c r="H35" s="78"/>
      <c r="I35" s="69"/>
      <c r="J35" s="69"/>
      <c r="K35" s="69"/>
      <c r="L35" s="69"/>
      <c r="M35" s="77"/>
      <c r="N35" s="69"/>
      <c r="O35" s="110"/>
      <c r="P35" s="68"/>
    </row>
    <row r="36" spans="1:16" s="55" customFormat="1" ht="37.5" customHeight="1" x14ac:dyDescent="0.25">
      <c r="A36" s="64"/>
      <c r="B36" s="65"/>
      <c r="C36" s="66"/>
      <c r="D36" s="76"/>
      <c r="E36" s="66"/>
      <c r="F36" s="109"/>
      <c r="G36" s="68"/>
      <c r="H36" s="78"/>
      <c r="I36" s="69"/>
      <c r="J36" s="69"/>
      <c r="K36" s="69"/>
      <c r="L36" s="69"/>
      <c r="M36" s="77"/>
      <c r="N36" s="69"/>
      <c r="O36" s="110"/>
      <c r="P36" s="68"/>
    </row>
    <row r="37" spans="1:16" s="55" customFormat="1" ht="37.5" customHeight="1" x14ac:dyDescent="0.25">
      <c r="A37" s="64"/>
      <c r="B37" s="65"/>
      <c r="C37" s="66"/>
      <c r="D37" s="76"/>
      <c r="E37" s="66"/>
      <c r="F37" s="109"/>
      <c r="G37" s="68"/>
      <c r="H37" s="78"/>
      <c r="I37" s="69"/>
      <c r="J37" s="69"/>
      <c r="K37" s="69"/>
      <c r="L37" s="69"/>
      <c r="M37" s="77"/>
      <c r="N37" s="69"/>
      <c r="O37" s="110"/>
      <c r="P37" s="68"/>
    </row>
    <row r="38" spans="1:16" s="55" customFormat="1" ht="37.5" customHeight="1" x14ac:dyDescent="0.25">
      <c r="A38" s="64"/>
      <c r="B38" s="65"/>
      <c r="C38" s="66"/>
      <c r="D38" s="76"/>
      <c r="E38" s="66"/>
      <c r="F38" s="109"/>
      <c r="G38" s="68"/>
      <c r="H38" s="78"/>
      <c r="I38" s="69"/>
      <c r="J38" s="69"/>
      <c r="K38" s="69"/>
      <c r="L38" s="69"/>
      <c r="M38" s="77"/>
      <c r="N38" s="69"/>
      <c r="O38" s="110"/>
      <c r="P38" s="68"/>
    </row>
    <row r="39" spans="1:16" s="55" customFormat="1" ht="37.5" customHeight="1" x14ac:dyDescent="0.25">
      <c r="A39" s="64"/>
      <c r="B39" s="65"/>
      <c r="C39" s="66"/>
      <c r="D39" s="76"/>
      <c r="E39" s="66"/>
      <c r="F39" s="109"/>
      <c r="G39" s="68"/>
      <c r="H39" s="78"/>
      <c r="I39" s="69"/>
      <c r="J39" s="69"/>
      <c r="K39" s="69"/>
      <c r="L39" s="69"/>
      <c r="M39" s="77"/>
      <c r="N39" s="69"/>
      <c r="O39" s="110"/>
      <c r="P39" s="68"/>
    </row>
    <row r="40" spans="1:16" s="55" customFormat="1" ht="37.5" customHeight="1" x14ac:dyDescent="0.25">
      <c r="A40" s="64"/>
      <c r="B40" s="65"/>
      <c r="C40" s="66"/>
      <c r="D40" s="76"/>
      <c r="E40" s="66"/>
      <c r="F40" s="109"/>
      <c r="G40" s="68"/>
      <c r="H40" s="78"/>
      <c r="I40" s="69"/>
      <c r="J40" s="69"/>
      <c r="K40" s="69"/>
      <c r="L40" s="69"/>
      <c r="M40" s="77"/>
      <c r="N40" s="69"/>
      <c r="O40" s="110"/>
      <c r="P40" s="68"/>
    </row>
    <row r="41" spans="1:16" ht="37.5" customHeight="1" x14ac:dyDescent="0.2">
      <c r="A41" s="64"/>
      <c r="B41" s="65"/>
      <c r="C41" s="66"/>
      <c r="D41" s="76"/>
      <c r="E41" s="66"/>
      <c r="F41" s="109"/>
      <c r="G41" s="68"/>
      <c r="H41" s="78"/>
      <c r="I41" s="69"/>
      <c r="J41" s="69"/>
      <c r="K41" s="69"/>
      <c r="L41" s="69"/>
      <c r="M41" s="77"/>
      <c r="N41" s="69"/>
      <c r="O41" s="110"/>
      <c r="P41" s="68"/>
    </row>
    <row r="42" spans="1:16" ht="37.5" customHeight="1" x14ac:dyDescent="0.2">
      <c r="A42" s="64"/>
      <c r="B42" s="65"/>
      <c r="C42" s="66"/>
      <c r="D42" s="76"/>
      <c r="E42" s="66"/>
      <c r="F42" s="109"/>
      <c r="G42" s="68"/>
      <c r="H42" s="78"/>
      <c r="I42" s="69"/>
      <c r="J42" s="69"/>
      <c r="K42" s="69"/>
      <c r="L42" s="69"/>
      <c r="M42" s="77"/>
      <c r="N42" s="69"/>
      <c r="O42" s="110"/>
      <c r="P42" s="68"/>
    </row>
    <row r="43" spans="1:16" ht="37.5" customHeight="1" x14ac:dyDescent="0.2">
      <c r="A43" s="64"/>
      <c r="B43" s="65"/>
      <c r="C43" s="66"/>
      <c r="D43" s="76"/>
      <c r="E43" s="66"/>
      <c r="F43" s="109"/>
      <c r="G43" s="68"/>
      <c r="H43" s="78"/>
      <c r="I43" s="69"/>
      <c r="J43" s="69"/>
      <c r="K43" s="69"/>
      <c r="L43" s="69"/>
      <c r="M43" s="77"/>
      <c r="N43" s="69"/>
      <c r="O43" s="110"/>
      <c r="P43" s="68"/>
    </row>
    <row r="44" spans="1:16" ht="37.5" customHeight="1" x14ac:dyDescent="0.2">
      <c r="A44" s="64"/>
      <c r="B44" s="65"/>
      <c r="C44" s="66"/>
      <c r="D44" s="76"/>
      <c r="E44" s="66"/>
      <c r="F44" s="109"/>
      <c r="G44" s="68"/>
      <c r="H44" s="78"/>
      <c r="I44" s="69"/>
      <c r="J44" s="69"/>
      <c r="K44" s="69"/>
      <c r="L44" s="69"/>
      <c r="M44" s="77"/>
      <c r="N44" s="69"/>
      <c r="O44" s="110"/>
      <c r="P44" s="68"/>
    </row>
    <row r="45" spans="1:16" ht="37.5" customHeight="1" x14ac:dyDescent="0.2">
      <c r="A45" s="64"/>
      <c r="B45" s="65"/>
      <c r="C45" s="66"/>
      <c r="D45" s="76"/>
      <c r="E45" s="66"/>
      <c r="F45" s="109"/>
      <c r="G45" s="68"/>
      <c r="H45" s="78"/>
      <c r="I45" s="69"/>
      <c r="J45" s="69"/>
      <c r="K45" s="69"/>
      <c r="L45" s="69"/>
      <c r="M45" s="77"/>
      <c r="N45" s="69"/>
      <c r="O45" s="110"/>
      <c r="P45" s="68"/>
    </row>
    <row r="46" spans="1:16" ht="37.5" customHeight="1" x14ac:dyDescent="0.2">
      <c r="A46" s="64"/>
      <c r="B46" s="65"/>
      <c r="C46" s="66"/>
      <c r="D46" s="76"/>
      <c r="E46" s="66"/>
      <c r="F46" s="109"/>
      <c r="G46" s="68"/>
      <c r="H46" s="78"/>
      <c r="I46" s="69"/>
      <c r="J46" s="69"/>
      <c r="K46" s="69"/>
      <c r="L46" s="69"/>
      <c r="M46" s="77"/>
      <c r="N46" s="69"/>
      <c r="O46" s="110"/>
      <c r="P46" s="68"/>
    </row>
    <row r="47" spans="1:16" ht="37.5" customHeight="1" x14ac:dyDescent="0.2">
      <c r="A47" s="64"/>
      <c r="B47" s="65"/>
      <c r="C47" s="66"/>
      <c r="D47" s="76"/>
      <c r="E47" s="66"/>
      <c r="F47" s="109"/>
      <c r="G47" s="68"/>
      <c r="H47" s="78"/>
      <c r="I47" s="69"/>
      <c r="J47" s="69"/>
      <c r="K47" s="69"/>
      <c r="L47" s="69"/>
      <c r="M47" s="77"/>
      <c r="N47" s="69"/>
      <c r="O47" s="110"/>
      <c r="P47" s="68"/>
    </row>
    <row r="48" spans="1:16" ht="37.5" customHeight="1" x14ac:dyDescent="0.2">
      <c r="A48" s="64"/>
      <c r="B48" s="65"/>
      <c r="C48" s="66"/>
      <c r="D48" s="76"/>
      <c r="E48" s="66"/>
      <c r="F48" s="109"/>
      <c r="G48" s="68"/>
      <c r="H48" s="78"/>
      <c r="I48" s="69"/>
      <c r="J48" s="69"/>
      <c r="K48" s="69"/>
      <c r="L48" s="69"/>
      <c r="M48" s="77"/>
      <c r="N48" s="69"/>
      <c r="O48" s="110"/>
      <c r="P48" s="68"/>
    </row>
    <row r="49" spans="1:16" ht="37.5" customHeight="1" x14ac:dyDescent="0.2">
      <c r="A49" s="64"/>
      <c r="B49" s="65"/>
      <c r="C49" s="66"/>
      <c r="D49" s="76"/>
      <c r="E49" s="66"/>
      <c r="F49" s="109"/>
      <c r="G49" s="68"/>
      <c r="H49" s="78"/>
      <c r="I49" s="69"/>
      <c r="J49" s="69"/>
      <c r="K49" s="69"/>
      <c r="L49" s="69"/>
      <c r="M49" s="77"/>
      <c r="N49" s="69"/>
      <c r="O49" s="110"/>
      <c r="P49" s="68"/>
    </row>
    <row r="50" spans="1:16" ht="37.5" customHeight="1" x14ac:dyDescent="0.2">
      <c r="A50" s="64"/>
      <c r="B50" s="65"/>
      <c r="C50" s="66"/>
      <c r="D50" s="76"/>
      <c r="E50" s="66"/>
      <c r="F50" s="109"/>
      <c r="G50" s="68"/>
      <c r="H50" s="78"/>
      <c r="I50" s="69"/>
      <c r="J50" s="69"/>
      <c r="K50" s="69"/>
      <c r="L50" s="69"/>
      <c r="M50" s="77"/>
      <c r="N50" s="69"/>
      <c r="O50" s="110"/>
      <c r="P50" s="68"/>
    </row>
    <row r="51" spans="1:16" ht="37.5" customHeight="1" x14ac:dyDescent="0.2">
      <c r="A51" s="64"/>
      <c r="B51" s="65"/>
      <c r="C51" s="66"/>
      <c r="D51" s="76"/>
      <c r="E51" s="66"/>
      <c r="F51" s="109"/>
      <c r="G51" s="68"/>
      <c r="H51" s="78"/>
      <c r="I51" s="69"/>
      <c r="J51" s="69"/>
      <c r="K51" s="69"/>
      <c r="L51" s="69"/>
      <c r="M51" s="77"/>
      <c r="N51" s="69"/>
      <c r="O51" s="110"/>
      <c r="P51" s="68"/>
    </row>
    <row r="52" spans="1:16" ht="37.5" customHeight="1" x14ac:dyDescent="0.2">
      <c r="A52" s="64"/>
      <c r="B52" s="65"/>
      <c r="C52" s="66"/>
      <c r="D52" s="76"/>
      <c r="E52" s="66"/>
      <c r="F52" s="109"/>
      <c r="G52" s="68"/>
      <c r="H52" s="78"/>
      <c r="I52" s="69"/>
      <c r="J52" s="69"/>
      <c r="K52" s="69"/>
      <c r="L52" s="69"/>
      <c r="M52" s="77"/>
      <c r="N52" s="69"/>
      <c r="O52" s="110"/>
      <c r="P52" s="68"/>
    </row>
    <row r="53" spans="1:16" ht="37.5" customHeight="1" x14ac:dyDescent="0.2">
      <c r="A53" s="64"/>
      <c r="B53" s="65"/>
      <c r="C53" s="66"/>
      <c r="D53" s="76"/>
      <c r="E53" s="66"/>
      <c r="F53" s="109"/>
      <c r="G53" s="68"/>
      <c r="H53" s="78"/>
      <c r="I53" s="69"/>
      <c r="J53" s="69"/>
      <c r="K53" s="69"/>
      <c r="L53" s="69"/>
      <c r="M53" s="77"/>
      <c r="N53" s="69"/>
      <c r="O53" s="110"/>
      <c r="P53" s="68"/>
    </row>
    <row r="54" spans="1:16" ht="37.5" customHeight="1" x14ac:dyDescent="0.2">
      <c r="A54" s="64"/>
      <c r="B54" s="65"/>
      <c r="C54" s="66"/>
      <c r="D54" s="76"/>
      <c r="E54" s="66"/>
      <c r="F54" s="109"/>
      <c r="G54" s="68"/>
      <c r="H54" s="78"/>
      <c r="I54" s="69"/>
      <c r="J54" s="69"/>
      <c r="K54" s="69"/>
      <c r="L54" s="69"/>
      <c r="M54" s="77"/>
      <c r="N54" s="69"/>
      <c r="O54" s="110"/>
      <c r="P54" s="68"/>
    </row>
    <row r="55" spans="1:16" ht="37.5" customHeight="1" x14ac:dyDescent="0.2">
      <c r="A55" s="64"/>
      <c r="B55" s="65"/>
      <c r="C55" s="66"/>
      <c r="D55" s="76"/>
      <c r="E55" s="66"/>
      <c r="F55" s="109"/>
      <c r="G55" s="68"/>
      <c r="H55" s="78"/>
      <c r="I55" s="69"/>
      <c r="J55" s="69"/>
      <c r="K55" s="69"/>
      <c r="L55" s="69"/>
      <c r="M55" s="77"/>
      <c r="N55" s="69"/>
      <c r="O55" s="110"/>
      <c r="P55" s="68"/>
    </row>
    <row r="56" spans="1:16" ht="37.5" customHeight="1" x14ac:dyDescent="0.2">
      <c r="A56" s="64"/>
      <c r="B56" s="65"/>
      <c r="C56" s="66"/>
      <c r="D56" s="76"/>
      <c r="E56" s="66"/>
      <c r="F56" s="109"/>
      <c r="G56" s="68"/>
      <c r="H56" s="78"/>
      <c r="I56" s="69"/>
      <c r="J56" s="69"/>
      <c r="K56" s="69"/>
      <c r="L56" s="69"/>
      <c r="M56" s="77"/>
      <c r="N56" s="69"/>
      <c r="O56" s="110"/>
      <c r="P56" s="68"/>
    </row>
    <row r="57" spans="1:16" ht="37.5" customHeight="1" x14ac:dyDescent="0.2">
      <c r="A57" s="64"/>
      <c r="B57" s="65"/>
      <c r="C57" s="66"/>
      <c r="D57" s="76"/>
      <c r="E57" s="66"/>
      <c r="F57" s="109"/>
      <c r="G57" s="68"/>
      <c r="H57" s="78"/>
      <c r="I57" s="69"/>
      <c r="J57" s="69"/>
      <c r="K57" s="69"/>
      <c r="L57" s="69"/>
      <c r="M57" s="77"/>
      <c r="N57" s="69"/>
      <c r="O57" s="110"/>
      <c r="P57" s="68"/>
    </row>
    <row r="58" spans="1:16" ht="37.5" customHeight="1" x14ac:dyDescent="0.2">
      <c r="A58" s="64"/>
      <c r="B58" s="65"/>
      <c r="C58" s="66"/>
      <c r="D58" s="76"/>
      <c r="E58" s="66"/>
      <c r="F58" s="109"/>
      <c r="G58" s="68"/>
      <c r="H58" s="78"/>
      <c r="I58" s="69"/>
      <c r="J58" s="69"/>
      <c r="K58" s="69"/>
      <c r="L58" s="69"/>
      <c r="M58" s="77"/>
      <c r="N58" s="69"/>
      <c r="O58" s="110"/>
      <c r="P58" s="68"/>
    </row>
    <row r="59" spans="1:16" ht="37.5" customHeight="1" x14ac:dyDescent="0.2">
      <c r="A59" s="64"/>
      <c r="B59" s="65"/>
      <c r="C59" s="66"/>
      <c r="D59" s="76"/>
      <c r="E59" s="66"/>
      <c r="F59" s="109"/>
      <c r="G59" s="68"/>
      <c r="H59" s="78"/>
      <c r="I59" s="69"/>
      <c r="J59" s="69"/>
      <c r="K59" s="69"/>
      <c r="L59" s="69"/>
      <c r="M59" s="77"/>
      <c r="N59" s="69"/>
      <c r="O59" s="110"/>
      <c r="P59" s="68"/>
    </row>
    <row r="60" spans="1:16" ht="37.5" customHeight="1" x14ac:dyDescent="0.2">
      <c r="A60" s="3"/>
      <c r="B60" s="4"/>
      <c r="C60" s="5"/>
      <c r="D60" s="81"/>
      <c r="E60" s="5"/>
      <c r="F60" s="47"/>
      <c r="G60" s="8"/>
      <c r="H60" s="45"/>
      <c r="I60" s="12"/>
      <c r="J60" s="12"/>
      <c r="K60" s="12"/>
      <c r="L60" s="12"/>
      <c r="M60" s="11"/>
      <c r="N60" s="12"/>
      <c r="O60" s="13"/>
      <c r="P60" s="8"/>
    </row>
    <row r="61" spans="1:16" ht="37.5" customHeight="1" x14ac:dyDescent="0.2">
      <c r="A61" s="3"/>
      <c r="B61" s="4"/>
      <c r="C61" s="5"/>
      <c r="D61" s="81"/>
      <c r="E61" s="5"/>
      <c r="F61" s="47"/>
      <c r="G61" s="8"/>
      <c r="H61" s="45"/>
      <c r="I61" s="12"/>
      <c r="J61" s="12"/>
      <c r="K61" s="12"/>
      <c r="L61" s="12"/>
      <c r="M61" s="11"/>
      <c r="N61" s="12"/>
      <c r="O61" s="13"/>
      <c r="P61" s="8"/>
    </row>
    <row r="62" spans="1:16" ht="37.5" customHeight="1" x14ac:dyDescent="0.2">
      <c r="A62" s="3"/>
      <c r="B62" s="4"/>
      <c r="C62" s="5"/>
      <c r="D62" s="81"/>
      <c r="E62" s="5"/>
      <c r="F62" s="47"/>
      <c r="G62" s="8"/>
      <c r="H62" s="45"/>
      <c r="I62" s="12"/>
      <c r="J62" s="12"/>
      <c r="K62" s="12"/>
      <c r="L62" s="12"/>
      <c r="M62" s="11"/>
      <c r="N62" s="12"/>
      <c r="O62" s="13"/>
      <c r="P62" s="8"/>
    </row>
    <row r="63" spans="1:16" ht="37.5" customHeight="1" x14ac:dyDescent="0.2">
      <c r="A63" s="3"/>
      <c r="B63" s="4"/>
      <c r="C63" s="31"/>
      <c r="D63" s="81"/>
      <c r="E63" s="5"/>
      <c r="F63" s="32"/>
      <c r="G63" s="28"/>
      <c r="H63" s="45"/>
      <c r="I63" s="12"/>
      <c r="J63" s="12"/>
      <c r="K63" s="12"/>
      <c r="L63" s="12"/>
      <c r="M63" s="27"/>
      <c r="N63" s="33"/>
      <c r="O63" s="12"/>
      <c r="P63" s="8"/>
    </row>
    <row r="64" spans="1:16" ht="37.5" customHeight="1" x14ac:dyDescent="0.2">
      <c r="A64" s="3"/>
      <c r="B64" s="4"/>
      <c r="C64" s="5"/>
      <c r="D64" s="81"/>
      <c r="E64" s="5"/>
      <c r="F64" s="47"/>
      <c r="G64" s="8"/>
      <c r="H64" s="45"/>
      <c r="I64" s="12"/>
      <c r="J64" s="12"/>
      <c r="K64" s="12"/>
      <c r="L64" s="12"/>
      <c r="M64" s="11"/>
      <c r="N64" s="12"/>
      <c r="O64" s="13"/>
      <c r="P64" s="8"/>
    </row>
    <row r="65" spans="1:16" ht="37.5" customHeight="1" x14ac:dyDescent="0.2">
      <c r="A65" s="3"/>
      <c r="B65" s="4"/>
      <c r="C65" s="5"/>
      <c r="D65" s="81"/>
      <c r="E65" s="5"/>
      <c r="F65" s="47"/>
      <c r="G65" s="8"/>
      <c r="H65" s="45"/>
      <c r="I65" s="12"/>
      <c r="J65" s="12"/>
      <c r="K65" s="12"/>
      <c r="L65" s="12"/>
      <c r="M65" s="11"/>
      <c r="N65" s="12"/>
      <c r="O65" s="13"/>
      <c r="P65" s="8"/>
    </row>
    <row r="66" spans="1:16" ht="37.5" customHeight="1" x14ac:dyDescent="0.2">
      <c r="A66" s="3"/>
      <c r="B66" s="4"/>
      <c r="C66" s="5"/>
      <c r="D66" s="81"/>
      <c r="E66" s="5"/>
      <c r="F66" s="47"/>
      <c r="G66" s="8"/>
      <c r="H66" s="45"/>
      <c r="I66" s="12"/>
      <c r="J66" s="12"/>
      <c r="K66" s="12"/>
      <c r="L66" s="12"/>
      <c r="M66" s="11"/>
      <c r="N66" s="12"/>
      <c r="O66" s="13"/>
      <c r="P66" s="8"/>
    </row>
    <row r="67" spans="1:16" ht="37.5" customHeight="1" x14ac:dyDescent="0.2">
      <c r="A67" s="3"/>
      <c r="B67" s="4"/>
      <c r="C67" s="5"/>
      <c r="D67" s="81"/>
      <c r="E67" s="5"/>
      <c r="F67" s="47"/>
      <c r="G67" s="8"/>
      <c r="H67" s="45"/>
      <c r="I67" s="12"/>
      <c r="J67" s="12"/>
      <c r="K67" s="12"/>
      <c r="L67" s="12"/>
      <c r="M67" s="11"/>
      <c r="N67" s="12"/>
      <c r="O67" s="13"/>
      <c r="P67" s="8"/>
    </row>
    <row r="68" spans="1:16" ht="37.5" customHeight="1" x14ac:dyDescent="0.2">
      <c r="A68" s="3"/>
      <c r="B68" s="4"/>
      <c r="C68" s="5"/>
      <c r="D68" s="81"/>
      <c r="E68" s="5"/>
      <c r="F68" s="5"/>
      <c r="G68" s="8"/>
      <c r="H68" s="45"/>
      <c r="I68" s="12"/>
      <c r="J68" s="12"/>
      <c r="K68" s="12"/>
      <c r="L68" s="12"/>
      <c r="M68" s="11"/>
      <c r="N68" s="12"/>
      <c r="O68" s="13"/>
      <c r="P68" s="8"/>
    </row>
    <row r="69" spans="1:16" ht="37.5" customHeight="1" x14ac:dyDescent="0.2">
      <c r="A69" s="3"/>
      <c r="B69" s="4"/>
      <c r="C69" s="5"/>
      <c r="D69" s="81"/>
      <c r="E69" s="5"/>
      <c r="F69" s="5"/>
      <c r="G69" s="8"/>
      <c r="H69" s="45"/>
      <c r="I69" s="12"/>
      <c r="J69" s="12"/>
      <c r="K69" s="12"/>
      <c r="L69" s="12"/>
      <c r="M69" s="11"/>
      <c r="N69" s="12"/>
      <c r="O69" s="13"/>
      <c r="P69" s="8"/>
    </row>
    <row r="70" spans="1:16" ht="37.5" customHeight="1" x14ac:dyDescent="0.2">
      <c r="A70" s="3"/>
      <c r="B70" s="4"/>
      <c r="C70" s="5"/>
      <c r="D70" s="81"/>
      <c r="E70" s="5"/>
      <c r="F70" s="5"/>
      <c r="G70" s="8"/>
      <c r="H70" s="45"/>
      <c r="I70" s="12"/>
      <c r="J70" s="12"/>
      <c r="K70" s="12"/>
      <c r="L70" s="12"/>
      <c r="M70" s="11"/>
      <c r="N70" s="12"/>
      <c r="O70" s="13"/>
      <c r="P70" s="8"/>
    </row>
    <row r="71" spans="1:16" ht="37.5" customHeight="1" x14ac:dyDescent="0.2">
      <c r="A71" s="3"/>
      <c r="B71" s="4"/>
      <c r="C71" s="5"/>
      <c r="D71" s="81"/>
      <c r="E71" s="5"/>
      <c r="F71" s="5"/>
      <c r="G71" s="8"/>
      <c r="H71" s="45"/>
      <c r="I71" s="12"/>
      <c r="J71" s="12"/>
      <c r="K71" s="12"/>
      <c r="L71" s="12"/>
      <c r="M71" s="11"/>
      <c r="N71" s="12"/>
      <c r="O71" s="13"/>
      <c r="P71" s="8"/>
    </row>
    <row r="72" spans="1:16" ht="37.5" customHeight="1" x14ac:dyDescent="0.2">
      <c r="A72" s="3"/>
      <c r="B72" s="4"/>
      <c r="C72" s="5"/>
      <c r="D72" s="81"/>
      <c r="E72" s="5"/>
      <c r="F72" s="5"/>
      <c r="G72" s="8"/>
      <c r="H72" s="45"/>
      <c r="I72" s="12"/>
      <c r="J72" s="12"/>
      <c r="K72" s="12"/>
      <c r="L72" s="12"/>
      <c r="M72" s="11"/>
      <c r="N72" s="12"/>
      <c r="O72" s="13"/>
      <c r="P72" s="8"/>
    </row>
    <row r="73" spans="1:16" ht="37.5" customHeight="1" x14ac:dyDescent="0.2">
      <c r="A73" s="3"/>
      <c r="B73" s="4"/>
      <c r="C73" s="5"/>
      <c r="D73" s="81"/>
      <c r="E73" s="5"/>
      <c r="F73" s="5"/>
      <c r="G73" s="8"/>
      <c r="H73" s="45"/>
      <c r="I73" s="12"/>
      <c r="J73" s="12"/>
      <c r="K73" s="12"/>
      <c r="L73" s="12"/>
      <c r="M73" s="11"/>
      <c r="N73" s="12"/>
      <c r="O73" s="13"/>
      <c r="P73" s="8"/>
    </row>
    <row r="74" spans="1:16" ht="37.5" customHeight="1" x14ac:dyDescent="0.2">
      <c r="A74" s="3"/>
      <c r="B74" s="4"/>
      <c r="C74" s="5"/>
      <c r="D74" s="81"/>
      <c r="E74" s="5"/>
      <c r="F74" s="5"/>
      <c r="G74" s="8"/>
      <c r="H74" s="45"/>
      <c r="I74" s="12"/>
      <c r="J74" s="12"/>
      <c r="K74" s="12"/>
      <c r="L74" s="12"/>
      <c r="M74" s="11"/>
      <c r="N74" s="12"/>
      <c r="O74" s="13"/>
      <c r="P74" s="8"/>
    </row>
    <row r="75" spans="1:16" ht="37.5" customHeight="1" x14ac:dyDescent="0.2">
      <c r="A75" s="3"/>
      <c r="B75" s="4"/>
      <c r="C75" s="5"/>
      <c r="D75" s="81"/>
      <c r="E75" s="5"/>
      <c r="F75" s="5"/>
      <c r="G75" s="8"/>
      <c r="H75" s="45"/>
      <c r="I75" s="12"/>
      <c r="J75" s="12"/>
      <c r="K75" s="12"/>
      <c r="L75" s="12"/>
      <c r="M75" s="11"/>
      <c r="N75" s="12"/>
      <c r="O75" s="13"/>
      <c r="P75" s="8"/>
    </row>
    <row r="76" spans="1:16" ht="37.5" customHeight="1" x14ac:dyDescent="0.2">
      <c r="A76" s="3"/>
      <c r="B76" s="4"/>
      <c r="C76" s="5"/>
      <c r="D76" s="81"/>
      <c r="E76" s="5"/>
      <c r="F76" s="5"/>
      <c r="G76" s="8"/>
      <c r="H76" s="45"/>
      <c r="I76" s="12"/>
      <c r="J76" s="12"/>
      <c r="K76" s="12"/>
      <c r="L76" s="12"/>
      <c r="M76" s="11"/>
      <c r="N76" s="12"/>
      <c r="O76" s="13"/>
      <c r="P76" s="8"/>
    </row>
    <row r="77" spans="1:16" ht="37.5" customHeight="1" x14ac:dyDescent="0.2">
      <c r="A77" s="3"/>
      <c r="B77" s="4"/>
      <c r="C77" s="5"/>
      <c r="D77" s="81"/>
      <c r="E77" s="5"/>
      <c r="F77" s="5"/>
      <c r="G77" s="8"/>
      <c r="H77" s="45"/>
      <c r="I77" s="12"/>
      <c r="J77" s="12"/>
      <c r="K77" s="12"/>
      <c r="L77" s="12"/>
      <c r="M77" s="11"/>
      <c r="N77" s="12"/>
      <c r="O77" s="13"/>
      <c r="P77" s="8"/>
    </row>
    <row r="78" spans="1:16" ht="37.5" customHeight="1" x14ac:dyDescent="0.2">
      <c r="A78" s="3"/>
      <c r="B78" s="4"/>
      <c r="C78" s="5"/>
      <c r="D78" s="81"/>
      <c r="E78" s="5"/>
      <c r="F78" s="5"/>
      <c r="G78" s="8"/>
      <c r="H78" s="45"/>
      <c r="I78" s="12"/>
      <c r="J78" s="12"/>
      <c r="K78" s="12"/>
      <c r="L78" s="12"/>
      <c r="M78" s="11"/>
      <c r="N78" s="12"/>
      <c r="O78" s="13"/>
      <c r="P78" s="8"/>
    </row>
    <row r="79" spans="1:16" ht="37.5" customHeight="1" x14ac:dyDescent="0.2">
      <c r="A79" s="3"/>
      <c r="B79" s="4"/>
      <c r="C79" s="5"/>
      <c r="D79" s="81"/>
      <c r="E79" s="5"/>
      <c r="F79" s="5"/>
      <c r="G79" s="8"/>
      <c r="H79" s="45"/>
      <c r="I79" s="12"/>
      <c r="J79" s="12"/>
      <c r="K79" s="12"/>
      <c r="L79" s="12"/>
      <c r="M79" s="11"/>
      <c r="N79" s="12"/>
      <c r="O79" s="13"/>
      <c r="P79" s="8"/>
    </row>
    <row r="80" spans="1:16" ht="37.5" customHeight="1" x14ac:dyDescent="0.2">
      <c r="A80" s="3"/>
      <c r="B80" s="4"/>
      <c r="C80" s="5"/>
      <c r="D80" s="81"/>
      <c r="E80" s="5"/>
      <c r="F80" s="5"/>
      <c r="G80" s="8"/>
      <c r="H80" s="45"/>
      <c r="I80" s="12"/>
      <c r="J80" s="12"/>
      <c r="K80" s="12"/>
      <c r="L80" s="12"/>
      <c r="M80" s="11"/>
      <c r="N80" s="12"/>
      <c r="O80" s="13"/>
      <c r="P80" s="8"/>
    </row>
    <row r="81" spans="1:16" ht="37.5" customHeight="1" x14ac:dyDescent="0.2">
      <c r="A81" s="3"/>
      <c r="B81" s="4"/>
      <c r="C81" s="5"/>
      <c r="D81" s="81"/>
      <c r="E81" s="5"/>
      <c r="F81" s="5"/>
      <c r="G81" s="8"/>
      <c r="H81" s="45"/>
      <c r="I81" s="12"/>
      <c r="J81" s="12"/>
      <c r="K81" s="12"/>
      <c r="L81" s="12"/>
      <c r="M81" s="11"/>
      <c r="N81" s="12"/>
      <c r="O81" s="13"/>
      <c r="P81" s="8"/>
    </row>
    <row r="82" spans="1:16" ht="37.5" customHeight="1" x14ac:dyDescent="0.2">
      <c r="A82" s="3"/>
      <c r="B82" s="4"/>
      <c r="C82" s="5"/>
      <c r="D82" s="81"/>
      <c r="E82" s="5"/>
      <c r="F82" s="5"/>
      <c r="G82" s="8"/>
      <c r="H82" s="45"/>
      <c r="I82" s="12"/>
      <c r="J82" s="12"/>
      <c r="K82" s="12"/>
      <c r="L82" s="12"/>
      <c r="M82" s="11"/>
      <c r="N82" s="12"/>
      <c r="O82" s="13"/>
      <c r="P82" s="8"/>
    </row>
    <row r="83" spans="1:16" ht="37.5" customHeight="1" x14ac:dyDescent="0.2">
      <c r="A83" s="3"/>
      <c r="B83" s="4"/>
      <c r="C83" s="5"/>
      <c r="D83" s="6" t="s">
        <v>102</v>
      </c>
      <c r="E83" s="5"/>
      <c r="F83" s="7"/>
      <c r="G83" s="8"/>
      <c r="H83" s="9" t="s">
        <v>102</v>
      </c>
      <c r="I83" s="10"/>
      <c r="J83" s="10"/>
      <c r="K83" s="10"/>
      <c r="L83" s="12"/>
      <c r="M83" s="11">
        <f>SUM(Tabla124[[#This Row],[TRIMESTRE  I]:[TRIMESTRE IV]])</f>
        <v>0</v>
      </c>
      <c r="N83" s="12"/>
      <c r="O83" s="13"/>
      <c r="P83" s="8"/>
    </row>
    <row r="84" spans="1:16" ht="37.5" customHeight="1" x14ac:dyDescent="0.2">
      <c r="A84" s="14"/>
      <c r="B84" s="14"/>
      <c r="C84" s="14"/>
      <c r="D84" s="15"/>
      <c r="E84" s="14"/>
      <c r="F84" s="14"/>
      <c r="G84" s="14"/>
      <c r="H84" s="16" t="s">
        <v>32</v>
      </c>
      <c r="I84" s="17"/>
      <c r="J84" s="17"/>
      <c r="K84" s="17"/>
      <c r="L84" s="17"/>
      <c r="M84" s="18">
        <f>SUBTOTAL(109,Tabla124[TOTAL POR EJERCER])</f>
        <v>16982542.490000002</v>
      </c>
      <c r="N84" s="19"/>
      <c r="O84" s="19"/>
      <c r="P84" s="14"/>
    </row>
    <row r="86" spans="1:16" ht="37.5" customHeight="1" x14ac:dyDescent="0.2">
      <c r="M86" s="48"/>
    </row>
    <row r="87" spans="1:16" ht="37.5" customHeight="1" x14ac:dyDescent="0.2">
      <c r="M87" s="29"/>
    </row>
  </sheetData>
  <protectedRanges>
    <protectedRange algorithmName="SHA-512" hashValue="CVDb5J/0TlFD03lqit9XaA7LbCMGvWLCsduA3v8dImZEGhWfzgZ6Dg6bkjbAbJm1bYAcMLcpovU/dJmuMze5jw==" saltValue="QZ4X9aU2cO4/tAPW6011Dw==" spinCount="100000" sqref="P26 P29 N83:P84 P31:P35 N31:N82 P37:P82" name="EDITABLE 4"/>
    <protectedRange algorithmName="SHA-512" hashValue="ytsoXFfC1+WmXVaa1/e6XfcZ7vPjNmSnuZe33NqN4NcqbRxNJdzSGuklMRpskJNPYNNz1yZQe585JE4aSLisOg==" saltValue="/jSLFmNX0mB2vn2qhSJbtw==" spinCount="100000" sqref="I84:L84 I78:K78 I31:L77 I83:K83 I79:L82 I26:L26" name="EDITABLE 3"/>
    <protectedRange algorithmName="SHA-512" hashValue="pJNw8ysPJcfMEDlzTgza0siiHuU4FkUpIzbuTX325DFaYD5nL5ng0z0JoIGpE+CYch2hq/LccMqSM51MpHojPQ==" saltValue="xv9nj4u85CXs/Kmy5tmlKw==" spinCount="100000" sqref="E83:G84 F31:G82" name="EDITABLE 2"/>
    <protectedRange algorithmName="SHA-512" hashValue="Lst7hsT/mUUQvFsOUalIdMZhSjExDj/C7u4r1gIjHREwBj16N7lqODQ0CY6n+RXalo774Zm4aYZKVBS0n4XIeg==" saltValue="KfnRR/cqfK967zBK52Zr6A==" spinCount="100000" sqref="A83:C84 C31:C82" name="EDITABLE 1"/>
    <protectedRange algorithmName="SHA-512" hashValue="ytsoXFfC1+WmXVaa1/e6XfcZ7vPjNmSnuZe33NqN4NcqbRxNJdzSGuklMRpskJNPYNNz1yZQe585JE4aSLisOg==" saltValue="/jSLFmNX0mB2vn2qhSJbtw==" spinCount="100000" sqref="L78 L83 I27:L30 I6:L25" name="EDITABLE 3_1"/>
    <protectedRange algorithmName="SHA-512" hashValue="pJNw8ysPJcfMEDlzTgza0siiHuU4FkUpIzbuTX325DFaYD5nL5ng0z0JoIGpE+CYch2hq/LccMqSM51MpHojPQ==" saltValue="xv9nj4u85CXs/Kmy5tmlKw==" spinCount="100000" sqref="E5:G12 F13:G30 E13:E82" name="EDITABLE 2_1"/>
    <protectedRange algorithmName="SHA-512" hashValue="Lst7hsT/mUUQvFsOUalIdMZhSjExDj/C7u4r1gIjHREwBj16N7lqODQ0CY6n+RXalo774Zm4aYZKVBS0n4XIeg==" saltValue="KfnRR/cqfK967zBK52Zr6A==" spinCount="100000" sqref="A5:C5 C6:C30 A6:B82" name="EDITABLE 1_1"/>
    <protectedRange algorithmName="SHA-512" hashValue="CVDb5J/0TlFD03lqit9XaA7LbCMGvWLCsduA3v8dImZEGhWfzgZ6Dg6bkjbAbJm1bYAcMLcpovU/dJmuMze5jw==" saltValue="QZ4X9aU2cO4/tAPW6011Dw==" spinCount="100000" sqref="P21:P23" name="EDITABLE 4_1"/>
    <protectedRange algorithmName="SHA-512" hashValue="CVDb5J/0TlFD03lqit9XaA7LbCMGvWLCsduA3v8dImZEGhWfzgZ6Dg6bkjbAbJm1bYAcMLcpovU/dJmuMze5jw==" saltValue="QZ4X9aU2cO4/tAPW6011Dw==" spinCount="100000" sqref="P12" name="EDITABLE 4_2"/>
    <protectedRange algorithmName="SHA-512" hashValue="CVDb5J/0TlFD03lqit9XaA7LbCMGvWLCsduA3v8dImZEGhWfzgZ6Dg6bkjbAbJm1bYAcMLcpovU/dJmuMze5jw==" saltValue="QZ4X9aU2cO4/tAPW6011Dw==" spinCount="100000" sqref="P6" name="EDITABLE 4_3"/>
    <protectedRange algorithmName="SHA-512" hashValue="CVDb5J/0TlFD03lqit9XaA7LbCMGvWLCsduA3v8dImZEGhWfzgZ6Dg6bkjbAbJm1bYAcMLcpovU/dJmuMze5jw==" saltValue="QZ4X9aU2cO4/tAPW6011Dw==" spinCount="100000" sqref="P8:P11" name="EDITABLE 4_4"/>
    <protectedRange algorithmName="SHA-512" hashValue="CVDb5J/0TlFD03lqit9XaA7LbCMGvWLCsduA3v8dImZEGhWfzgZ6Dg6bkjbAbJm1bYAcMLcpovU/dJmuMze5jw==" saltValue="QZ4X9aU2cO4/tAPW6011Dw==" spinCount="100000" sqref="P13:P14" name="EDITABLE 4_5"/>
    <protectedRange algorithmName="SHA-512" hashValue="CVDb5J/0TlFD03lqit9XaA7LbCMGvWLCsduA3v8dImZEGhWfzgZ6Dg6bkjbAbJm1bYAcMLcpovU/dJmuMze5jw==" saltValue="QZ4X9aU2cO4/tAPW6011Dw==" spinCount="100000" sqref="P17:P20" name="EDITABLE 4_6"/>
    <protectedRange algorithmName="SHA-512" hashValue="CVDb5J/0TlFD03lqit9XaA7LbCMGvWLCsduA3v8dImZEGhWfzgZ6Dg6bkjbAbJm1bYAcMLcpovU/dJmuMze5jw==" saltValue="QZ4X9aU2cO4/tAPW6011Dw==" spinCount="100000" sqref="P25" name="EDITABLE 4_7"/>
  </protectedRanges>
  <mergeCells count="3">
    <mergeCell ref="A1:P1"/>
    <mergeCell ref="A2:P2"/>
    <mergeCell ref="A3:P3"/>
  </mergeCells>
  <dataValidations count="2">
    <dataValidation type="list" allowBlank="1" showInputMessage="1" showErrorMessage="1" sqref="G5:G83" xr:uid="{2779C373-F2F2-47CD-8090-32DCFEF93665}">
      <formula1>INDIRECT(F5)</formula1>
    </dataValidation>
    <dataValidation type="list" allowBlank="1" showInputMessage="1" showErrorMessage="1" sqref="F5:F83" xr:uid="{9C000118-FE61-4D84-AB5C-D5C34B341681}">
      <formula1>CAPITULOS</formula1>
    </dataValidation>
  </dataValidations>
  <pageMargins left="0.23622047244094491" right="0.23622047244094491" top="0.74803149606299213" bottom="0.74803149606299213" header="0.31496062992125984" footer="0.31496062992125984"/>
  <pageSetup paperSize="5" scale="63" fitToHeight="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15</vt:i4>
      </vt:variant>
      <vt:variant>
        <vt:lpstr>Rangos con nombre</vt:lpstr>
      </vt:variant>
      <vt:variant>
        <vt:i4>19</vt:i4>
      </vt:variant>
    </vt:vector>
  </HeadingPairs>
  <TitlesOfParts>
    <vt:vector size="34" baseType="lpstr">
      <vt:lpstr>SSF</vt:lpstr>
      <vt:lpstr>JOE</vt:lpstr>
      <vt:lpstr>CG</vt:lpstr>
      <vt:lpstr>PGJE</vt:lpstr>
      <vt:lpstr>SJC</vt:lpstr>
      <vt:lpstr>SEP 530 2000</vt:lpstr>
      <vt:lpstr>SEP FONE 3000</vt:lpstr>
      <vt:lpstr>SEPADA</vt:lpstr>
      <vt:lpstr>SEPUIMM</vt:lpstr>
      <vt:lpstr>SETUE</vt:lpstr>
      <vt:lpstr>SSA</vt:lpstr>
      <vt:lpstr>SGG</vt:lpstr>
      <vt:lpstr>SGG DESCONCENTRADOS</vt:lpstr>
      <vt:lpstr>SSP</vt:lpstr>
      <vt:lpstr>STByDS</vt:lpstr>
      <vt:lpstr>CG!Área_de_impresión</vt:lpstr>
      <vt:lpstr>PGJE!Área_de_impresión</vt:lpstr>
      <vt:lpstr>SEPADA!Área_de_impresión</vt:lpstr>
      <vt:lpstr>SEPUIMM!Área_de_impresión</vt:lpstr>
      <vt:lpstr>SETUE!Área_de_impresión</vt:lpstr>
      <vt:lpstr>'SGG DESCONCENTRADOS'!Área_de_impresión</vt:lpstr>
      <vt:lpstr>CG!Títulos_a_imprimir</vt:lpstr>
      <vt:lpstr>JOE!Títulos_a_imprimir</vt:lpstr>
      <vt:lpstr>PGJE!Títulos_a_imprimir</vt:lpstr>
      <vt:lpstr>'SEP FONE 3000'!Títulos_a_imprimir</vt:lpstr>
      <vt:lpstr>SEPADA!Títulos_a_imprimir</vt:lpstr>
      <vt:lpstr>SEPUIMM!Títulos_a_imprimir</vt:lpstr>
      <vt:lpstr>SETUE!Títulos_a_imprimir</vt:lpstr>
      <vt:lpstr>SGG!Títulos_a_imprimir</vt:lpstr>
      <vt:lpstr>'SGG DESCONCENTRADOS'!Títulos_a_imprimir</vt:lpstr>
      <vt:lpstr>SJC!Títulos_a_imprimir</vt:lpstr>
      <vt:lpstr>SSA!Títulos_a_imprimir</vt:lpstr>
      <vt:lpstr>SSF!Títulos_a_imprimir</vt:lpstr>
      <vt:lpstr>STByDS!Títulos_a_imprimir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GBCS</dc:creator>
  <cp:lastModifiedBy>GBCS</cp:lastModifiedBy>
  <cp:lastPrinted>2026-04-17T18:23:02Z</cp:lastPrinted>
  <dcterms:created xsi:type="dcterms:W3CDTF">2026-02-13T18:33:29Z</dcterms:created>
  <dcterms:modified xsi:type="dcterms:W3CDTF">2026-04-20T19:33:11Z</dcterms:modified>
</cp:coreProperties>
</file>